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693"/>
  </bookViews>
  <sheets>
    <sheet name="Сетевой 2016" sheetId="4" r:id="rId1"/>
    <sheet name="Целевые показатели" sheetId="6" r:id="rId2"/>
    <sheet name="ПЗ" sheetId="5" r:id="rId3"/>
  </sheets>
  <definedNames>
    <definedName name="Excel_BuiltIn_Print_Area" localSheetId="0">'Сетевой 2016'!$A$1:$F$81</definedName>
    <definedName name="Excel_BuiltIn_Print_Area">#REF!</definedName>
    <definedName name="_xlnm.Print_Titles" localSheetId="0">'Сетевой 2016'!$6:$8</definedName>
    <definedName name="_xlnm.Print_Area" localSheetId="0">'Сетевой 2016'!$A$1:$AH$190</definedName>
    <definedName name="_xlnm.Print_Area" localSheetId="1">'Целевые показатели'!$A$1:$Q$14</definedName>
  </definedNames>
  <calcPr calcId="114210" fullCalcOnLoad="1"/>
</workbook>
</file>

<file path=xl/calcChain.xml><?xml version="1.0" encoding="utf-8"?>
<calcChain xmlns="http://schemas.openxmlformats.org/spreadsheetml/2006/main">
  <c r="Z157" i="4"/>
  <c r="AB173"/>
  <c r="I177"/>
  <c r="I174"/>
  <c r="K177"/>
  <c r="K174"/>
  <c r="M177"/>
  <c r="M174"/>
  <c r="Q177"/>
  <c r="Q174"/>
  <c r="S177"/>
  <c r="S174"/>
  <c r="AB138"/>
  <c r="M10" i="6"/>
  <c r="M8"/>
  <c r="M7"/>
  <c r="M6"/>
  <c r="AH183" i="4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G29"/>
  <c r="G139"/>
  <c r="G183"/>
  <c r="Z154"/>
  <c r="Z26"/>
  <c r="Z27"/>
  <c r="Z180"/>
  <c r="Z173"/>
  <c r="Z155"/>
  <c r="Z30"/>
  <c r="Z158"/>
  <c r="L10" i="6"/>
  <c r="L8"/>
  <c r="L7"/>
  <c r="L6"/>
  <c r="Z138" i="4"/>
  <c r="R11" i="6"/>
  <c r="K10"/>
  <c r="K8"/>
  <c r="K7"/>
  <c r="K6"/>
  <c r="J10"/>
  <c r="J8"/>
  <c r="J7"/>
  <c r="J6"/>
  <c r="T28" i="4"/>
  <c r="T31"/>
  <c r="V28"/>
  <c r="N177"/>
  <c r="I10" i="6"/>
  <c r="I8"/>
  <c r="I7"/>
  <c r="I6"/>
  <c r="Y35" i="4"/>
  <c r="Y36"/>
  <c r="Y34"/>
  <c r="H10" i="6"/>
  <c r="H8"/>
  <c r="H7"/>
  <c r="H6"/>
  <c r="AH17" i="4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G32"/>
  <c r="G17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G30"/>
  <c r="G61"/>
  <c r="G140"/>
  <c r="G146"/>
  <c r="G149"/>
  <c r="G152"/>
  <c r="G157"/>
  <c r="G158"/>
  <c r="V184"/>
  <c r="N187"/>
  <c r="R187"/>
  <c r="T187"/>
  <c r="V187"/>
  <c r="AF187"/>
  <c r="AH187"/>
  <c r="J187"/>
  <c r="L187"/>
  <c r="X187"/>
  <c r="Z187"/>
  <c r="AB187"/>
  <c r="G187"/>
  <c r="J156"/>
  <c r="I156"/>
  <c r="N156"/>
  <c r="R156"/>
  <c r="T156"/>
  <c r="V156"/>
  <c r="X156"/>
  <c r="Z156"/>
  <c r="AB156"/>
  <c r="G156"/>
  <c r="V36"/>
  <c r="G143"/>
  <c r="AF155"/>
  <c r="AH155"/>
  <c r="J155"/>
  <c r="L155"/>
  <c r="AB155"/>
  <c r="G155"/>
  <c r="G10" i="6"/>
  <c r="G8"/>
  <c r="G7"/>
  <c r="G6"/>
  <c r="C10"/>
  <c r="F8"/>
  <c r="E8"/>
  <c r="D8"/>
  <c r="C8"/>
  <c r="D5"/>
  <c r="F10"/>
  <c r="F7"/>
  <c r="F6"/>
  <c r="E10"/>
  <c r="E6"/>
  <c r="D11"/>
  <c r="D10"/>
  <c r="D7"/>
  <c r="C7"/>
  <c r="D6"/>
  <c r="Q5"/>
  <c r="Q6"/>
  <c r="E7"/>
  <c r="Q8"/>
  <c r="Q10"/>
  <c r="AH184" i="4"/>
  <c r="AH181"/>
  <c r="AG187"/>
  <c r="AG184"/>
  <c r="AG181"/>
  <c r="AF184"/>
  <c r="AF181"/>
  <c r="AE184"/>
  <c r="AE187"/>
  <c r="AE181"/>
  <c r="AD184"/>
  <c r="AD181"/>
  <c r="AC184"/>
  <c r="AC187"/>
  <c r="AC181"/>
  <c r="AB184"/>
  <c r="AB181"/>
  <c r="AA184"/>
  <c r="AA187"/>
  <c r="AA181"/>
  <c r="Z184"/>
  <c r="Z181"/>
  <c r="Y184"/>
  <c r="Y187"/>
  <c r="Y181"/>
  <c r="X184"/>
  <c r="X181"/>
  <c r="W184"/>
  <c r="W187"/>
  <c r="W181"/>
  <c r="V181"/>
  <c r="U187"/>
  <c r="U184"/>
  <c r="U181"/>
  <c r="T184"/>
  <c r="T181"/>
  <c r="S184"/>
  <c r="S187"/>
  <c r="S181"/>
  <c r="R184"/>
  <c r="R181"/>
  <c r="Q184"/>
  <c r="Q187"/>
  <c r="Q181"/>
  <c r="P157"/>
  <c r="P158"/>
  <c r="P187"/>
  <c r="M187"/>
  <c r="E61"/>
  <c r="H61"/>
  <c r="E152"/>
  <c r="H152"/>
  <c r="E149"/>
  <c r="H149"/>
  <c r="E143"/>
  <c r="H143"/>
  <c r="H187"/>
  <c r="E140"/>
  <c r="H140"/>
  <c r="H184"/>
  <c r="H181"/>
  <c r="G173"/>
  <c r="AH186"/>
  <c r="AH180"/>
  <c r="AG186"/>
  <c r="AG180"/>
  <c r="AF186"/>
  <c r="AF180"/>
  <c r="AE186"/>
  <c r="AE180"/>
  <c r="AD186"/>
  <c r="AD180"/>
  <c r="AC186"/>
  <c r="AC180"/>
  <c r="AB186"/>
  <c r="AB180"/>
  <c r="AA186"/>
  <c r="AA180"/>
  <c r="Z186"/>
  <c r="Y186"/>
  <c r="Y180"/>
  <c r="X186"/>
  <c r="X180"/>
  <c r="W186"/>
  <c r="W180"/>
  <c r="V186"/>
  <c r="V180"/>
  <c r="U186"/>
  <c r="U180"/>
  <c r="T186"/>
  <c r="T180"/>
  <c r="S186"/>
  <c r="S180"/>
  <c r="R186"/>
  <c r="R180"/>
  <c r="Q186"/>
  <c r="Q180"/>
  <c r="E60"/>
  <c r="G60"/>
  <c r="H60"/>
  <c r="H186"/>
  <c r="H180"/>
  <c r="G186"/>
  <c r="G180"/>
  <c r="AH182"/>
  <c r="AH185"/>
  <c r="AH179"/>
  <c r="AG185"/>
  <c r="AG182"/>
  <c r="AG179"/>
  <c r="AF182"/>
  <c r="AF185"/>
  <c r="AF179"/>
  <c r="AE182"/>
  <c r="AE185"/>
  <c r="AE179"/>
  <c r="AD182"/>
  <c r="AD185"/>
  <c r="AD179"/>
  <c r="AC182"/>
  <c r="AC185"/>
  <c r="AC179"/>
  <c r="AB182"/>
  <c r="AB185"/>
  <c r="AB179"/>
  <c r="AA182"/>
  <c r="AA185"/>
  <c r="AA179"/>
  <c r="Z182"/>
  <c r="Z185"/>
  <c r="Z179"/>
  <c r="Y182"/>
  <c r="Y185"/>
  <c r="Y179"/>
  <c r="X182"/>
  <c r="X185"/>
  <c r="X179"/>
  <c r="W182"/>
  <c r="W185"/>
  <c r="W179"/>
  <c r="V182"/>
  <c r="V185"/>
  <c r="V179"/>
  <c r="U185"/>
  <c r="U182"/>
  <c r="U179"/>
  <c r="T185"/>
  <c r="T182"/>
  <c r="T179"/>
  <c r="S182"/>
  <c r="S185"/>
  <c r="S179"/>
  <c r="R185"/>
  <c r="R182"/>
  <c r="R179"/>
  <c r="Q182"/>
  <c r="Q185"/>
  <c r="Q179"/>
  <c r="L186"/>
  <c r="L185"/>
  <c r="J186"/>
  <c r="J185"/>
  <c r="N186"/>
  <c r="N185"/>
  <c r="P185"/>
  <c r="M186"/>
  <c r="M185"/>
  <c r="I186"/>
  <c r="I187"/>
  <c r="I185"/>
  <c r="K186"/>
  <c r="K187"/>
  <c r="K185"/>
  <c r="O185"/>
  <c r="H185"/>
  <c r="H182"/>
  <c r="H179"/>
  <c r="G185"/>
  <c r="E158"/>
  <c r="E157"/>
  <c r="E146"/>
  <c r="E173"/>
  <c r="E187"/>
  <c r="E145"/>
  <c r="E186"/>
  <c r="E185"/>
  <c r="E29"/>
  <c r="E139"/>
  <c r="E30"/>
  <c r="P186"/>
  <c r="O186"/>
  <c r="AD187"/>
  <c r="O157"/>
  <c r="O158"/>
  <c r="O187"/>
  <c r="AG177"/>
  <c r="AF177"/>
  <c r="AE177"/>
  <c r="AD177"/>
  <c r="AC177"/>
  <c r="AB177"/>
  <c r="AA177"/>
  <c r="Z177"/>
  <c r="Y177"/>
  <c r="X177"/>
  <c r="W177"/>
  <c r="V177"/>
  <c r="U177"/>
  <c r="T177"/>
  <c r="R177"/>
  <c r="P177"/>
  <c r="O177"/>
  <c r="L177"/>
  <c r="J177"/>
  <c r="H177"/>
  <c r="G177"/>
  <c r="F173"/>
  <c r="F177"/>
  <c r="E177"/>
  <c r="AH177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E170"/>
  <c r="E168"/>
  <c r="AH156"/>
  <c r="AH36"/>
  <c r="AH27"/>
  <c r="AH165"/>
  <c r="AG156"/>
  <c r="AG36"/>
  <c r="AG155"/>
  <c r="AG27"/>
  <c r="AG165"/>
  <c r="AF156"/>
  <c r="AF36"/>
  <c r="AF27"/>
  <c r="AF165"/>
  <c r="AE156"/>
  <c r="AE36"/>
  <c r="AE155"/>
  <c r="AE27"/>
  <c r="AE165"/>
  <c r="AD156"/>
  <c r="AD36"/>
  <c r="AD155"/>
  <c r="AD27"/>
  <c r="AD165"/>
  <c r="AC156"/>
  <c r="AC36"/>
  <c r="AC155"/>
  <c r="AC27"/>
  <c r="AC165"/>
  <c r="AB36"/>
  <c r="AB27"/>
  <c r="AB165"/>
  <c r="AA156"/>
  <c r="AA36"/>
  <c r="AA155"/>
  <c r="AA27"/>
  <c r="AA165"/>
  <c r="Z36"/>
  <c r="Z165"/>
  <c r="Y156"/>
  <c r="Y155"/>
  <c r="Y27"/>
  <c r="Y165"/>
  <c r="X36"/>
  <c r="X155"/>
  <c r="X27"/>
  <c r="X165"/>
  <c r="W156"/>
  <c r="W36"/>
  <c r="W155"/>
  <c r="W27"/>
  <c r="W165"/>
  <c r="V155"/>
  <c r="V27"/>
  <c r="V165"/>
  <c r="U156"/>
  <c r="U36"/>
  <c r="U155"/>
  <c r="U27"/>
  <c r="U165"/>
  <c r="T36"/>
  <c r="T155"/>
  <c r="T27"/>
  <c r="T165"/>
  <c r="S156"/>
  <c r="S36"/>
  <c r="S155"/>
  <c r="S27"/>
  <c r="S165"/>
  <c r="R36"/>
  <c r="R155"/>
  <c r="R27"/>
  <c r="R165"/>
  <c r="Q156"/>
  <c r="Q36"/>
  <c r="Q155"/>
  <c r="Q27"/>
  <c r="Q165"/>
  <c r="P156"/>
  <c r="P30"/>
  <c r="P36"/>
  <c r="P155"/>
  <c r="P27"/>
  <c r="P165"/>
  <c r="O156"/>
  <c r="O30"/>
  <c r="O36"/>
  <c r="O155"/>
  <c r="O27"/>
  <c r="O165"/>
  <c r="N155"/>
  <c r="M156"/>
  <c r="M155"/>
  <c r="L156"/>
  <c r="K156"/>
  <c r="K155"/>
  <c r="I155"/>
  <c r="H36"/>
  <c r="H155"/>
  <c r="H27"/>
  <c r="H165"/>
  <c r="AH35"/>
  <c r="AH154"/>
  <c r="AH26"/>
  <c r="AH164"/>
  <c r="AG35"/>
  <c r="AG154"/>
  <c r="AG26"/>
  <c r="AG164"/>
  <c r="AF35"/>
  <c r="AF154"/>
  <c r="AF26"/>
  <c r="AF164"/>
  <c r="AE35"/>
  <c r="AE154"/>
  <c r="AE26"/>
  <c r="AE164"/>
  <c r="AD35"/>
  <c r="AD154"/>
  <c r="AD26"/>
  <c r="AD164"/>
  <c r="AC35"/>
  <c r="AC154"/>
  <c r="AC26"/>
  <c r="AC164"/>
  <c r="AB35"/>
  <c r="AB154"/>
  <c r="AB26"/>
  <c r="AB164"/>
  <c r="AA35"/>
  <c r="AA154"/>
  <c r="AA26"/>
  <c r="AA164"/>
  <c r="Z35"/>
  <c r="Z164"/>
  <c r="Y154"/>
  <c r="Y26"/>
  <c r="Y164"/>
  <c r="X35"/>
  <c r="X154"/>
  <c r="X26"/>
  <c r="X164"/>
  <c r="W35"/>
  <c r="W154"/>
  <c r="W26"/>
  <c r="W164"/>
  <c r="V35"/>
  <c r="V154"/>
  <c r="V26"/>
  <c r="V164"/>
  <c r="U35"/>
  <c r="U154"/>
  <c r="U26"/>
  <c r="U164"/>
  <c r="T35"/>
  <c r="T154"/>
  <c r="T26"/>
  <c r="T164"/>
  <c r="S35"/>
  <c r="S154"/>
  <c r="S26"/>
  <c r="S164"/>
  <c r="R35"/>
  <c r="R154"/>
  <c r="R26"/>
  <c r="R164"/>
  <c r="Q35"/>
  <c r="Q154"/>
  <c r="Q26"/>
  <c r="Q164"/>
  <c r="P29"/>
  <c r="P35"/>
  <c r="P154"/>
  <c r="P26"/>
  <c r="P164"/>
  <c r="O29"/>
  <c r="O35"/>
  <c r="O154"/>
  <c r="O26"/>
  <c r="O164"/>
  <c r="N154"/>
  <c r="M154"/>
  <c r="L154"/>
  <c r="K154"/>
  <c r="J154"/>
  <c r="I154"/>
  <c r="H35"/>
  <c r="H154"/>
  <c r="H26"/>
  <c r="H164"/>
  <c r="G35"/>
  <c r="G151"/>
  <c r="G148"/>
  <c r="G142"/>
  <c r="G154"/>
  <c r="G26"/>
  <c r="G164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H162"/>
  <c r="E151"/>
  <c r="E148"/>
  <c r="E142"/>
  <c r="E154"/>
  <c r="E156"/>
  <c r="E15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H25"/>
  <c r="F152"/>
  <c r="F149"/>
  <c r="F146"/>
  <c r="F143"/>
  <c r="F140"/>
  <c r="F61"/>
  <c r="F155"/>
  <c r="F151"/>
  <c r="F148"/>
  <c r="F145"/>
  <c r="F142"/>
  <c r="F139"/>
  <c r="F60"/>
  <c r="F154"/>
  <c r="G153"/>
  <c r="F153"/>
  <c r="E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T150"/>
  <c r="U147"/>
  <c r="T147"/>
  <c r="V150"/>
  <c r="X150"/>
  <c r="V147"/>
  <c r="X147"/>
  <c r="Z150"/>
  <c r="AB150"/>
  <c r="AB147"/>
  <c r="AD147"/>
  <c r="AF147"/>
  <c r="AF150"/>
  <c r="AH144"/>
  <c r="AG144"/>
  <c r="AF144"/>
  <c r="AE144"/>
  <c r="AD144"/>
  <c r="AC144"/>
  <c r="AB144"/>
  <c r="AA144"/>
  <c r="Z144"/>
  <c r="Y144"/>
  <c r="X144"/>
  <c r="W144"/>
  <c r="V144"/>
  <c r="U144"/>
  <c r="T144"/>
  <c r="AH34"/>
  <c r="AG34"/>
  <c r="AF34"/>
  <c r="AE34"/>
  <c r="AD34"/>
  <c r="AC34"/>
  <c r="AB34"/>
  <c r="AA34"/>
  <c r="Z34"/>
  <c r="X34"/>
  <c r="W34"/>
  <c r="V34"/>
  <c r="U34"/>
  <c r="T34"/>
  <c r="S34"/>
  <c r="R34"/>
  <c r="Q34"/>
  <c r="P34"/>
  <c r="O34"/>
  <c r="H34"/>
  <c r="H153"/>
  <c r="I153"/>
  <c r="AJ147"/>
  <c r="AJ146"/>
  <c r="AI146"/>
  <c r="AD150"/>
  <c r="AH147"/>
  <c r="AH138"/>
  <c r="AH150"/>
  <c r="AH171"/>
  <c r="AH31"/>
  <c r="AH14"/>
  <c r="AH21"/>
  <c r="AH13"/>
  <c r="AH20"/>
  <c r="AH19"/>
  <c r="AH16"/>
  <c r="AH28"/>
  <c r="G13"/>
  <c r="AF138"/>
  <c r="AF28"/>
  <c r="AF31"/>
  <c r="F187"/>
  <c r="F186"/>
  <c r="F185"/>
  <c r="U13"/>
  <c r="W13"/>
  <c r="Y13"/>
  <c r="AA13"/>
  <c r="AC13"/>
  <c r="AE13"/>
  <c r="AG13"/>
  <c r="Q13"/>
  <c r="S13"/>
  <c r="F172"/>
  <c r="Q171"/>
  <c r="S171"/>
  <c r="U171"/>
  <c r="W171"/>
  <c r="Y171"/>
  <c r="AA171"/>
  <c r="AG171"/>
  <c r="I171"/>
  <c r="K171"/>
  <c r="M171"/>
  <c r="AC171"/>
  <c r="AE171"/>
  <c r="F171"/>
  <c r="F158"/>
  <c r="F157"/>
  <c r="AC150"/>
  <c r="AE150"/>
  <c r="AG150"/>
  <c r="AA150"/>
  <c r="I150"/>
  <c r="K150"/>
  <c r="M150"/>
  <c r="Q150"/>
  <c r="S150"/>
  <c r="U150"/>
  <c r="W150"/>
  <c r="Y150"/>
  <c r="F150"/>
  <c r="W147"/>
  <c r="Y147"/>
  <c r="AG147"/>
  <c r="I147"/>
  <c r="K147"/>
  <c r="M147"/>
  <c r="Q147"/>
  <c r="S147"/>
  <c r="AA147"/>
  <c r="AC147"/>
  <c r="AE147"/>
  <c r="F147"/>
  <c r="I144"/>
  <c r="K144"/>
  <c r="M144"/>
  <c r="Q144"/>
  <c r="S144"/>
  <c r="F144"/>
  <c r="I141"/>
  <c r="K141"/>
  <c r="M141"/>
  <c r="Q141"/>
  <c r="S141"/>
  <c r="U141"/>
  <c r="W141"/>
  <c r="Y141"/>
  <c r="AA141"/>
  <c r="AC141"/>
  <c r="AE141"/>
  <c r="AG141"/>
  <c r="F141"/>
  <c r="AE138"/>
  <c r="AG138"/>
  <c r="AC138"/>
  <c r="I138"/>
  <c r="K138"/>
  <c r="M138"/>
  <c r="Q138"/>
  <c r="S138"/>
  <c r="U138"/>
  <c r="W138"/>
  <c r="Y138"/>
  <c r="AA138"/>
  <c r="F138"/>
  <c r="AC59"/>
  <c r="AG59"/>
  <c r="AE59"/>
  <c r="I59"/>
  <c r="K59"/>
  <c r="M59"/>
  <c r="Q59"/>
  <c r="S59"/>
  <c r="U59"/>
  <c r="W59"/>
  <c r="Y59"/>
  <c r="AA59"/>
  <c r="F59"/>
  <c r="U31"/>
  <c r="W31"/>
  <c r="AE31"/>
  <c r="AC31"/>
  <c r="Y31"/>
  <c r="AA31"/>
  <c r="AG31"/>
  <c r="Q31"/>
  <c r="S31"/>
  <c r="F30"/>
  <c r="F29"/>
  <c r="U28"/>
  <c r="W28"/>
  <c r="Y28"/>
  <c r="AA28"/>
  <c r="AC28"/>
  <c r="AE28"/>
  <c r="AG28"/>
  <c r="I28"/>
  <c r="K28"/>
  <c r="M28"/>
  <c r="Q28"/>
  <c r="S28"/>
  <c r="F28"/>
  <c r="AD138"/>
  <c r="AB28"/>
  <c r="AB31"/>
  <c r="AD28"/>
  <c r="AD31"/>
  <c r="Z147"/>
  <c r="Z31"/>
  <c r="Z28"/>
  <c r="X28"/>
  <c r="AI143"/>
  <c r="AI142"/>
  <c r="H142"/>
  <c r="O141"/>
  <c r="AI141"/>
  <c r="AH141"/>
  <c r="AF141"/>
  <c r="AD141"/>
  <c r="AB141"/>
  <c r="Z141"/>
  <c r="X141"/>
  <c r="V141"/>
  <c r="T141"/>
  <c r="R141"/>
  <c r="J141"/>
  <c r="L141"/>
  <c r="N141"/>
  <c r="P141"/>
  <c r="H141"/>
  <c r="G141"/>
  <c r="E141"/>
  <c r="E57"/>
  <c r="AI57"/>
  <c r="E58"/>
  <c r="AI58"/>
  <c r="AI151"/>
  <c r="O150"/>
  <c r="AI150"/>
  <c r="AI149"/>
  <c r="AI148"/>
  <c r="O147"/>
  <c r="AI147"/>
  <c r="AI145"/>
  <c r="O144"/>
  <c r="AI144"/>
  <c r="AI140"/>
  <c r="AI139"/>
  <c r="O138"/>
  <c r="AI138"/>
  <c r="Y137"/>
  <c r="AE137"/>
  <c r="AG137"/>
  <c r="AI137"/>
  <c r="Y136"/>
  <c r="AE136"/>
  <c r="AG136"/>
  <c r="AI136"/>
  <c r="Y135"/>
  <c r="AE135"/>
  <c r="AG135"/>
  <c r="AI135"/>
  <c r="Y65"/>
  <c r="H72"/>
  <c r="Y72"/>
  <c r="H71"/>
  <c r="Y71"/>
  <c r="Y77"/>
  <c r="F87"/>
  <c r="G87"/>
  <c r="H87"/>
  <c r="Y87"/>
  <c r="Y91"/>
  <c r="Y134"/>
  <c r="AE65"/>
  <c r="AE72"/>
  <c r="AE71"/>
  <c r="AE77"/>
  <c r="AE87"/>
  <c r="AE91"/>
  <c r="AE134"/>
  <c r="AG65"/>
  <c r="AG72"/>
  <c r="AG71"/>
  <c r="AG77"/>
  <c r="AG87"/>
  <c r="AG91"/>
  <c r="AG134"/>
  <c r="AI134"/>
  <c r="Y64"/>
  <c r="Y90"/>
  <c r="Y133"/>
  <c r="AE64"/>
  <c r="AE90"/>
  <c r="AE133"/>
  <c r="AG64"/>
  <c r="AG90"/>
  <c r="AG133"/>
  <c r="AI133"/>
  <c r="Y132"/>
  <c r="AE132"/>
  <c r="AG132"/>
  <c r="AI132"/>
  <c r="Y131"/>
  <c r="AE131"/>
  <c r="AG131"/>
  <c r="AI131"/>
  <c r="Y130"/>
  <c r="AE130"/>
  <c r="AG130"/>
  <c r="AI130"/>
  <c r="Y129"/>
  <c r="AE129"/>
  <c r="AG129"/>
  <c r="AI129"/>
  <c r="Y69"/>
  <c r="Y81"/>
  <c r="Y109"/>
  <c r="Y113"/>
  <c r="Y117"/>
  <c r="Y128"/>
  <c r="AE69"/>
  <c r="AE81"/>
  <c r="AE109"/>
  <c r="AE113"/>
  <c r="AE117"/>
  <c r="AE128"/>
  <c r="AG69"/>
  <c r="AG81"/>
  <c r="AG109"/>
  <c r="AG113"/>
  <c r="AG117"/>
  <c r="AG128"/>
  <c r="AI128"/>
  <c r="Y68"/>
  <c r="Y80"/>
  <c r="Y108"/>
  <c r="Y112"/>
  <c r="Y116"/>
  <c r="Y127"/>
  <c r="AE68"/>
  <c r="AE80"/>
  <c r="AE108"/>
  <c r="AE112"/>
  <c r="AE116"/>
  <c r="AE127"/>
  <c r="AG68"/>
  <c r="AG80"/>
  <c r="AG108"/>
  <c r="AG112"/>
  <c r="AG116"/>
  <c r="AG127"/>
  <c r="AI127"/>
  <c r="Y126"/>
  <c r="AE126"/>
  <c r="AG126"/>
  <c r="AI126"/>
  <c r="AI125"/>
  <c r="Y124"/>
  <c r="AE124"/>
  <c r="AG124"/>
  <c r="AI124"/>
  <c r="Y123"/>
  <c r="AE123"/>
  <c r="AG123"/>
  <c r="AI123"/>
  <c r="Y122"/>
  <c r="AE122"/>
  <c r="AG122"/>
  <c r="AI122"/>
  <c r="Y121"/>
  <c r="AE121"/>
  <c r="AG121"/>
  <c r="AI121"/>
  <c r="Y120"/>
  <c r="AE120"/>
  <c r="AG120"/>
  <c r="AI120"/>
  <c r="Y119"/>
  <c r="AE119"/>
  <c r="AG119"/>
  <c r="AI119"/>
  <c r="AI118"/>
  <c r="AI117"/>
  <c r="AI116"/>
  <c r="AI115"/>
  <c r="Y114"/>
  <c r="AE114"/>
  <c r="AG114"/>
  <c r="AI114"/>
  <c r="AI113"/>
  <c r="AI112"/>
  <c r="AI111"/>
  <c r="Y110"/>
  <c r="AE110"/>
  <c r="AG110"/>
  <c r="AI110"/>
  <c r="AI109"/>
  <c r="AI108"/>
  <c r="AI107"/>
  <c r="Y106"/>
  <c r="AE106"/>
  <c r="AG106"/>
  <c r="AI106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Y88"/>
  <c r="AE88"/>
  <c r="AG88"/>
  <c r="AI88"/>
  <c r="AI87"/>
  <c r="AI86"/>
  <c r="AI85"/>
  <c r="AI84"/>
  <c r="AI83"/>
  <c r="AI82"/>
  <c r="AI81"/>
  <c r="AI80"/>
  <c r="AI79"/>
  <c r="Y62"/>
  <c r="Y66"/>
  <c r="Y78"/>
  <c r="AE62"/>
  <c r="AE66"/>
  <c r="AE78"/>
  <c r="AG62"/>
  <c r="AG66"/>
  <c r="AG78"/>
  <c r="AI78"/>
  <c r="AI77"/>
  <c r="AI76"/>
  <c r="Y75"/>
  <c r="AE75"/>
  <c r="AG75"/>
  <c r="AI75"/>
  <c r="AI74"/>
  <c r="AI73"/>
  <c r="AI72"/>
  <c r="AI71"/>
  <c r="AI70"/>
  <c r="AI69"/>
  <c r="AI68"/>
  <c r="AI67"/>
  <c r="AI66"/>
  <c r="AI65"/>
  <c r="AI64"/>
  <c r="AI63"/>
  <c r="AI62"/>
  <c r="AI61"/>
  <c r="AI60"/>
  <c r="O59"/>
  <c r="AI59"/>
  <c r="AI33"/>
  <c r="AI32"/>
  <c r="AI30"/>
  <c r="AI29"/>
  <c r="O28"/>
  <c r="AI28"/>
  <c r="R150"/>
  <c r="R147"/>
  <c r="R144"/>
  <c r="R138"/>
  <c r="R59"/>
  <c r="R31"/>
  <c r="R28"/>
  <c r="R174"/>
  <c r="R13"/>
  <c r="Q16"/>
  <c r="N174"/>
  <c r="L174"/>
  <c r="N171"/>
  <c r="J171"/>
  <c r="L171"/>
  <c r="P171"/>
  <c r="O171"/>
  <c r="J150"/>
  <c r="L150"/>
  <c r="N150"/>
  <c r="P150"/>
  <c r="J147"/>
  <c r="L147"/>
  <c r="N147"/>
  <c r="J144"/>
  <c r="L144"/>
  <c r="N144"/>
  <c r="P144"/>
  <c r="J138"/>
  <c r="L138"/>
  <c r="N138"/>
  <c r="P138"/>
  <c r="J59"/>
  <c r="L59"/>
  <c r="N59"/>
  <c r="P59"/>
  <c r="J28"/>
  <c r="L28"/>
  <c r="N28"/>
  <c r="AG174"/>
  <c r="AF14"/>
  <c r="AF21"/>
  <c r="AF174"/>
  <c r="AD174"/>
  <c r="AC174"/>
  <c r="AB174"/>
  <c r="AA174"/>
  <c r="W174"/>
  <c r="V174"/>
  <c r="U174"/>
  <c r="T174"/>
  <c r="S16"/>
  <c r="AF13"/>
  <c r="AE16"/>
  <c r="AD16"/>
  <c r="Z13"/>
  <c r="Y16"/>
  <c r="X13"/>
  <c r="W16"/>
  <c r="V13"/>
  <c r="V16"/>
  <c r="T16"/>
  <c r="E174"/>
  <c r="H144"/>
  <c r="E147"/>
  <c r="E150"/>
  <c r="AF16"/>
  <c r="AB16"/>
  <c r="AA16"/>
  <c r="Z16"/>
  <c r="X16"/>
  <c r="AF188"/>
  <c r="AD188"/>
  <c r="AC188"/>
  <c r="Y188"/>
  <c r="U188"/>
  <c r="Q188"/>
  <c r="H183"/>
  <c r="H138"/>
  <c r="H147"/>
  <c r="G171"/>
  <c r="H171"/>
  <c r="H137"/>
  <c r="F103"/>
  <c r="G137"/>
  <c r="F104"/>
  <c r="F137"/>
  <c r="F100"/>
  <c r="AH174"/>
  <c r="AE174"/>
  <c r="Z174"/>
  <c r="Y174"/>
  <c r="H174"/>
  <c r="F174"/>
  <c r="H108"/>
  <c r="H90"/>
  <c r="H112"/>
  <c r="H136"/>
  <c r="G108"/>
  <c r="G90"/>
  <c r="G112"/>
  <c r="G136"/>
  <c r="G135"/>
  <c r="G147"/>
  <c r="F108"/>
  <c r="F136"/>
  <c r="F135"/>
  <c r="E137"/>
  <c r="E138"/>
  <c r="F90"/>
  <c r="F77"/>
  <c r="F91"/>
  <c r="G77"/>
  <c r="H77"/>
  <c r="H75"/>
  <c r="E102"/>
  <c r="AD171"/>
  <c r="AB171"/>
  <c r="Z171"/>
  <c r="V171"/>
  <c r="T171"/>
  <c r="E171"/>
  <c r="AH59"/>
  <c r="T59"/>
  <c r="V59"/>
  <c r="X59"/>
  <c r="Z59"/>
  <c r="AB59"/>
  <c r="AD59"/>
  <c r="AF59"/>
  <c r="AG54"/>
  <c r="Y54"/>
  <c r="U56"/>
  <c r="U54"/>
  <c r="E101"/>
  <c r="E99"/>
  <c r="E98"/>
  <c r="E97"/>
  <c r="E96"/>
  <c r="E95"/>
  <c r="E94"/>
  <c r="E93"/>
  <c r="E86"/>
  <c r="E90"/>
  <c r="F75"/>
  <c r="G59"/>
  <c r="E55"/>
  <c r="AE54"/>
  <c r="AC54"/>
  <c r="AA54"/>
  <c r="W54"/>
  <c r="S54"/>
  <c r="Q54"/>
  <c r="M54"/>
  <c r="K54"/>
  <c r="I54"/>
  <c r="H54"/>
  <c r="G54"/>
  <c r="F54"/>
  <c r="F53"/>
  <c r="F51"/>
  <c r="F48"/>
  <c r="F46"/>
  <c r="F44"/>
  <c r="F42"/>
  <c r="F41"/>
  <c r="F40"/>
  <c r="F39"/>
  <c r="H31"/>
  <c r="H28"/>
  <c r="G28"/>
  <c r="E28"/>
  <c r="F47"/>
  <c r="F45"/>
  <c r="F52"/>
  <c r="E56"/>
  <c r="E54"/>
  <c r="F50"/>
  <c r="F49"/>
  <c r="F38"/>
  <c r="F43"/>
  <c r="F112"/>
  <c r="E108"/>
  <c r="G150"/>
  <c r="G138"/>
  <c r="G144"/>
  <c r="X174"/>
  <c r="X171"/>
  <c r="X188"/>
  <c r="S20"/>
  <c r="X20"/>
  <c r="Y14"/>
  <c r="AH188"/>
  <c r="AA20"/>
  <c r="W14"/>
  <c r="W21"/>
  <c r="Q14"/>
  <c r="Q21"/>
  <c r="R188"/>
  <c r="H150"/>
  <c r="F64"/>
  <c r="V188"/>
  <c r="AA188"/>
  <c r="E144"/>
  <c r="AA14"/>
  <c r="AA21"/>
  <c r="R14"/>
  <c r="R21"/>
  <c r="AF20"/>
  <c r="AF19"/>
  <c r="AF12"/>
  <c r="AG14"/>
  <c r="AG21"/>
  <c r="W188"/>
  <c r="AC16"/>
  <c r="P147"/>
  <c r="W20"/>
  <c r="W12"/>
  <c r="AF171"/>
  <c r="F65"/>
  <c r="E59"/>
  <c r="Y20"/>
  <c r="V14"/>
  <c r="V21"/>
  <c r="S188"/>
  <c r="Z14"/>
  <c r="Z21"/>
  <c r="H135"/>
  <c r="E136"/>
  <c r="E135"/>
  <c r="U16"/>
  <c r="G104"/>
  <c r="E103"/>
  <c r="AC20"/>
  <c r="P28"/>
  <c r="G105"/>
  <c r="E104"/>
  <c r="AH12"/>
  <c r="T13"/>
  <c r="F109"/>
  <c r="E100"/>
  <c r="H59"/>
  <c r="Z188"/>
  <c r="AE188"/>
  <c r="AG16"/>
  <c r="T188"/>
  <c r="Z20"/>
  <c r="Z19"/>
  <c r="AG188"/>
  <c r="G174"/>
  <c r="AB188"/>
  <c r="V20"/>
  <c r="V19"/>
  <c r="AD14"/>
  <c r="AD21"/>
  <c r="G75"/>
  <c r="E112"/>
  <c r="AD13"/>
  <c r="O174"/>
  <c r="F88"/>
  <c r="AB13"/>
  <c r="R16"/>
  <c r="G65"/>
  <c r="AB14"/>
  <c r="AB21"/>
  <c r="R12"/>
  <c r="G131"/>
  <c r="G69"/>
  <c r="G81"/>
  <c r="Q12"/>
  <c r="Q20"/>
  <c r="Q19"/>
  <c r="F133"/>
  <c r="F62"/>
  <c r="F66"/>
  <c r="F78"/>
  <c r="F123"/>
  <c r="S14"/>
  <c r="T14"/>
  <c r="T21"/>
  <c r="Y21"/>
  <c r="Y19"/>
  <c r="H105"/>
  <c r="E105"/>
  <c r="AG20"/>
  <c r="AG19"/>
  <c r="AG12"/>
  <c r="G91"/>
  <c r="G124"/>
  <c r="AB12"/>
  <c r="AB20"/>
  <c r="AB19"/>
  <c r="U14"/>
  <c r="AC14"/>
  <c r="AE14"/>
  <c r="U20"/>
  <c r="AA19"/>
  <c r="Y12"/>
  <c r="G134"/>
  <c r="AD20"/>
  <c r="AD19"/>
  <c r="AD12"/>
  <c r="J174"/>
  <c r="P174"/>
  <c r="U21"/>
  <c r="H65"/>
  <c r="E65"/>
  <c r="F134"/>
  <c r="F124"/>
  <c r="AE20"/>
  <c r="AE21"/>
  <c r="AE19"/>
  <c r="F106"/>
  <c r="F113"/>
  <c r="H109"/>
  <c r="G109"/>
  <c r="E72"/>
  <c r="O13"/>
  <c r="AA12"/>
  <c r="R20"/>
  <c r="R19"/>
  <c r="G88"/>
  <c r="T12"/>
  <c r="T20"/>
  <c r="T19"/>
  <c r="P13"/>
  <c r="F120"/>
  <c r="F68"/>
  <c r="F80"/>
  <c r="F116"/>
  <c r="F130"/>
  <c r="W19"/>
  <c r="Z12"/>
  <c r="V12"/>
  <c r="X14"/>
  <c r="G113"/>
  <c r="G106"/>
  <c r="AC21"/>
  <c r="AC19"/>
  <c r="AC12"/>
  <c r="E109"/>
  <c r="G121"/>
  <c r="F122"/>
  <c r="F132"/>
  <c r="H106"/>
  <c r="E106"/>
  <c r="U19"/>
  <c r="H88"/>
  <c r="H91"/>
  <c r="H134"/>
  <c r="H121"/>
  <c r="H14"/>
  <c r="H131"/>
  <c r="H69"/>
  <c r="H81"/>
  <c r="F110"/>
  <c r="AE12"/>
  <c r="U12"/>
  <c r="E71"/>
  <c r="F121"/>
  <c r="F69"/>
  <c r="F131"/>
  <c r="S21"/>
  <c r="S19"/>
  <c r="S12"/>
  <c r="F127"/>
  <c r="F119"/>
  <c r="E77"/>
  <c r="X21"/>
  <c r="X19"/>
  <c r="X12"/>
  <c r="E121"/>
  <c r="F81"/>
  <c r="F117"/>
  <c r="E69"/>
  <c r="G117"/>
  <c r="G110"/>
  <c r="H113"/>
  <c r="H124"/>
  <c r="E131"/>
  <c r="F129"/>
  <c r="H117"/>
  <c r="H110"/>
  <c r="F128"/>
  <c r="F114"/>
  <c r="G128"/>
  <c r="E75"/>
  <c r="E81"/>
  <c r="F126"/>
  <c r="E87"/>
  <c r="H128"/>
  <c r="E91"/>
  <c r="E88"/>
  <c r="E113"/>
  <c r="E110"/>
  <c r="E124"/>
  <c r="E134"/>
  <c r="E117"/>
  <c r="E128"/>
  <c r="G20"/>
  <c r="G64"/>
  <c r="H64"/>
  <c r="E64"/>
  <c r="G123"/>
  <c r="G122"/>
  <c r="G130"/>
  <c r="G129"/>
  <c r="G68"/>
  <c r="H68"/>
  <c r="E68"/>
  <c r="E80"/>
  <c r="G120"/>
  <c r="G119"/>
  <c r="H120"/>
  <c r="H119"/>
  <c r="H13"/>
  <c r="H12"/>
  <c r="H130"/>
  <c r="H129"/>
  <c r="H188"/>
  <c r="G133"/>
  <c r="G132"/>
  <c r="H133"/>
  <c r="H132"/>
  <c r="G62"/>
  <c r="H62"/>
  <c r="E62"/>
  <c r="E120"/>
  <c r="E119"/>
  <c r="E130"/>
  <c r="E129"/>
  <c r="H123"/>
  <c r="H122"/>
  <c r="G80"/>
  <c r="G116"/>
  <c r="G127"/>
  <c r="G126"/>
  <c r="G114"/>
  <c r="H66"/>
  <c r="H78"/>
  <c r="G66"/>
  <c r="E66"/>
  <c r="E78"/>
  <c r="H80"/>
  <c r="H116"/>
  <c r="H127"/>
  <c r="H126"/>
  <c r="H114"/>
  <c r="E123"/>
  <c r="E122"/>
  <c r="E133"/>
  <c r="E132"/>
  <c r="E116"/>
  <c r="E114"/>
  <c r="G78"/>
  <c r="E127"/>
  <c r="E126"/>
  <c r="I18"/>
  <c r="I184"/>
  <c r="I36"/>
  <c r="I181"/>
  <c r="I27"/>
  <c r="I165"/>
  <c r="I14"/>
  <c r="I21"/>
  <c r="J18"/>
  <c r="J184"/>
  <c r="J181"/>
  <c r="J36"/>
  <c r="J27"/>
  <c r="J165"/>
  <c r="J14"/>
  <c r="J21"/>
  <c r="K18"/>
  <c r="K184"/>
  <c r="K36"/>
  <c r="K181"/>
  <c r="K27"/>
  <c r="K165"/>
  <c r="K14"/>
  <c r="K21"/>
  <c r="L18"/>
  <c r="L184"/>
  <c r="L181"/>
  <c r="L36"/>
  <c r="L27"/>
  <c r="L165"/>
  <c r="L14"/>
  <c r="L21"/>
  <c r="M18"/>
  <c r="M184"/>
  <c r="O184"/>
  <c r="O181"/>
  <c r="E33"/>
  <c r="E184"/>
  <c r="E181"/>
  <c r="M36"/>
  <c r="F36"/>
  <c r="F184"/>
  <c r="M181"/>
  <c r="F181"/>
  <c r="F33"/>
  <c r="E36"/>
  <c r="E27"/>
  <c r="E18"/>
  <c r="E165"/>
  <c r="E14"/>
  <c r="E21"/>
  <c r="M27"/>
  <c r="M165"/>
  <c r="M14"/>
  <c r="O14"/>
  <c r="F27"/>
  <c r="F165"/>
  <c r="F14"/>
  <c r="M21"/>
  <c r="O21"/>
  <c r="N18"/>
  <c r="N184"/>
  <c r="P184"/>
  <c r="P181"/>
  <c r="N181"/>
  <c r="G184"/>
  <c r="G181"/>
  <c r="G182"/>
  <c r="G179"/>
  <c r="N36"/>
  <c r="G36"/>
  <c r="G27"/>
  <c r="G165"/>
  <c r="G162"/>
  <c r="G25"/>
  <c r="G34"/>
  <c r="G14"/>
  <c r="G12"/>
  <c r="G33"/>
  <c r="G18"/>
  <c r="G16"/>
  <c r="G31"/>
  <c r="N27"/>
  <c r="N165"/>
  <c r="N14"/>
  <c r="P14"/>
  <c r="N21"/>
  <c r="P21"/>
  <c r="G21"/>
  <c r="G19"/>
  <c r="N180"/>
  <c r="N182"/>
  <c r="N179"/>
  <c r="N35"/>
  <c r="N26"/>
  <c r="N164"/>
  <c r="N162"/>
  <c r="N25"/>
  <c r="N34"/>
  <c r="N31"/>
  <c r="N17"/>
  <c r="N16"/>
  <c r="N188"/>
  <c r="N13"/>
  <c r="N20"/>
  <c r="N19"/>
  <c r="N12"/>
  <c r="M180"/>
  <c r="M182"/>
  <c r="M179"/>
  <c r="M35"/>
  <c r="M26"/>
  <c r="M164"/>
  <c r="M162"/>
  <c r="M25"/>
  <c r="M34"/>
  <c r="M31"/>
  <c r="M188"/>
  <c r="M17"/>
  <c r="M16"/>
  <c r="M13"/>
  <c r="M12"/>
  <c r="M20"/>
  <c r="M19"/>
  <c r="L180"/>
  <c r="L182"/>
  <c r="L179"/>
  <c r="L35"/>
  <c r="L26"/>
  <c r="L164"/>
  <c r="L162"/>
  <c r="L25"/>
  <c r="L34"/>
  <c r="L31"/>
  <c r="L13"/>
  <c r="L17"/>
  <c r="L20"/>
  <c r="L19"/>
  <c r="L12"/>
  <c r="L16"/>
  <c r="L188"/>
  <c r="K180"/>
  <c r="K182"/>
  <c r="K179"/>
  <c r="K35"/>
  <c r="K26"/>
  <c r="K164"/>
  <c r="K162"/>
  <c r="K25"/>
  <c r="K34"/>
  <c r="K31"/>
  <c r="K188"/>
  <c r="K17"/>
  <c r="K16"/>
  <c r="K13"/>
  <c r="K20"/>
  <c r="K19"/>
  <c r="K12"/>
  <c r="P180"/>
  <c r="J180"/>
  <c r="J182"/>
  <c r="P182"/>
  <c r="P179"/>
  <c r="J179"/>
  <c r="J35"/>
  <c r="J26"/>
  <c r="J164"/>
  <c r="J162"/>
  <c r="J25"/>
  <c r="J34"/>
  <c r="J31"/>
  <c r="P31"/>
  <c r="J188"/>
  <c r="J17"/>
  <c r="J16"/>
  <c r="P16"/>
  <c r="J13"/>
  <c r="J12"/>
  <c r="P12"/>
  <c r="J20"/>
  <c r="J19"/>
  <c r="P19"/>
  <c r="P20"/>
  <c r="O180"/>
  <c r="I182"/>
  <c r="O182"/>
  <c r="O179"/>
  <c r="E32"/>
  <c r="E183"/>
  <c r="E182"/>
  <c r="E179"/>
  <c r="E180"/>
  <c r="I35"/>
  <c r="I26"/>
  <c r="I164"/>
  <c r="I162"/>
  <c r="F35"/>
  <c r="I34"/>
  <c r="F34"/>
  <c r="E35"/>
  <c r="E34"/>
  <c r="E188"/>
  <c r="F183"/>
  <c r="I180"/>
  <c r="F180"/>
  <c r="I179"/>
  <c r="F179"/>
  <c r="F32"/>
  <c r="I31"/>
  <c r="F31"/>
  <c r="I25"/>
  <c r="F25"/>
  <c r="E26"/>
  <c r="E164"/>
  <c r="E162"/>
  <c r="O31"/>
  <c r="AI31"/>
  <c r="E25"/>
  <c r="E31"/>
  <c r="E17"/>
  <c r="E16"/>
  <c r="I188"/>
  <c r="I17"/>
  <c r="I16"/>
  <c r="O16"/>
  <c r="F182"/>
  <c r="F188"/>
  <c r="E13"/>
  <c r="E12"/>
  <c r="E20"/>
  <c r="E19"/>
  <c r="F26"/>
  <c r="F164"/>
  <c r="I13"/>
  <c r="I12"/>
  <c r="O12"/>
  <c r="I20"/>
  <c r="O20"/>
  <c r="I19"/>
  <c r="O19"/>
  <c r="F13"/>
  <c r="F12"/>
</calcChain>
</file>

<file path=xl/sharedStrings.xml><?xml version="1.0" encoding="utf-8"?>
<sst xmlns="http://schemas.openxmlformats.org/spreadsheetml/2006/main" count="448" uniqueCount="204">
  <si>
    <t>Наименование показателей результатов</t>
  </si>
  <si>
    <t>Целевое значение показателя на момент окончания действия муниципальной программы</t>
  </si>
  <si>
    <t>№ п/п</t>
  </si>
  <si>
    <t>7</t>
  </si>
  <si>
    <t>8</t>
  </si>
  <si>
    <t>9</t>
  </si>
  <si>
    <t>10</t>
  </si>
  <si>
    <t>11</t>
  </si>
  <si>
    <t>12</t>
  </si>
  <si>
    <t>13</t>
  </si>
  <si>
    <t>Цель: Развитие современной транспортной инфраструктуры, обеспечивающей повышение доступности и безопасности услуг транспортного комплекса для населения города Радужный</t>
  </si>
  <si>
    <t>Подпрограмма I "Автомобильные дороги"</t>
  </si>
  <si>
    <t>1.1</t>
  </si>
  <si>
    <t>КУ "КС" города Радужный</t>
  </si>
  <si>
    <t>бюджет округа</t>
  </si>
  <si>
    <t>местный бюджет</t>
  </si>
  <si>
    <t>КУ "ДЕЗ по ГХ"   города Радужный</t>
  </si>
  <si>
    <t>в том числе:</t>
  </si>
  <si>
    <t>Бюджет округа</t>
  </si>
  <si>
    <t>Бюджет города</t>
  </si>
  <si>
    <t>2). Капитальный ремонт дорог и дорожных сооружений на них</t>
  </si>
  <si>
    <t>2.1</t>
  </si>
  <si>
    <t>Автодорога Варьеганское месторождение</t>
  </si>
  <si>
    <t>2.3</t>
  </si>
  <si>
    <t>Капитальный ремонт автодороги комплекс СТО (подъездные пути)</t>
  </si>
  <si>
    <t>2.2</t>
  </si>
  <si>
    <t>Автомобильная дорога по улице №3, участок  №1 от улицы №2  до улицы №6 (ул.50 лет Победы)</t>
  </si>
  <si>
    <t>Автомобильная дорога по улице №3, участок  №2 от улицы №6  до улицы №1-12 (ул.50 лет Победы)</t>
  </si>
  <si>
    <t>2.4</t>
  </si>
  <si>
    <t xml:space="preserve">Автомобильная дорога от автодороги г. Радужный - п.Новоаганск ПК 19+60  до ОДНП Баклажан </t>
  </si>
  <si>
    <t>2.5</t>
  </si>
  <si>
    <t>Автомобильная дорога, улица №23, участок автодороги от улицы №2 до  УМП "УКС"</t>
  </si>
  <si>
    <t>2.6</t>
  </si>
  <si>
    <t xml:space="preserve">Автомобильная  дорога, улица №24, участок автодороги от улицы №2 до  КОС </t>
  </si>
  <si>
    <t>2.7</t>
  </si>
  <si>
    <t>Южная промышленная зона, производственная база МСАП по ООГХ</t>
  </si>
  <si>
    <t>Проезд, жилой поселок СУ-968, от перекрестка с автодорогой по улице Поселковой ПК7+21,6 до ПК 0+0,0 участок 1; ПК 7+23,3 до ПК 2+84,1 участок 2 по улице Ручейной</t>
  </si>
  <si>
    <t>2.10</t>
  </si>
  <si>
    <t>Капитальный ремонт дорог,  итого</t>
  </si>
  <si>
    <t>Итого по задаче 1</t>
  </si>
  <si>
    <t>Итого по задаче 2</t>
  </si>
  <si>
    <t>Итого по подпрограмме I</t>
  </si>
  <si>
    <t>Подпрограмма II "Автомобильный транспорт"</t>
  </si>
  <si>
    <t>Задача 1. Обеспечение доступности и повышение качества транспортных услуг автомобильным транспортом</t>
  </si>
  <si>
    <t>1.1.</t>
  </si>
  <si>
    <t>2.1.</t>
  </si>
  <si>
    <t>Комитет по управлению муниципальным имуществом</t>
  </si>
  <si>
    <t>2.2.</t>
  </si>
  <si>
    <t>2.3.</t>
  </si>
  <si>
    <t>2.4.</t>
  </si>
  <si>
    <t>Комитет по управлению муниципальным имуществом Администрации г.Радужный</t>
  </si>
  <si>
    <t>2.5.</t>
  </si>
  <si>
    <t>Обустройство опасных участков улично-дорожной сети дорожными ограждениями и замена ограждений, не отвечающих требованиям нормативов</t>
  </si>
  <si>
    <t>2.6.</t>
  </si>
  <si>
    <t>2.7.</t>
  </si>
  <si>
    <t>2.8.</t>
  </si>
  <si>
    <t>2.9.</t>
  </si>
  <si>
    <t>Строительство светофорного объекта на пересечении автомобильных дорог ул.Казамкина - ул.Светлая</t>
  </si>
  <si>
    <t>2.10.</t>
  </si>
  <si>
    <t>Строительство светофорного объекта на пересечении автомобильных дорог ул.Новая - ул.Ягельная</t>
  </si>
  <si>
    <t>Итого по подпрограмме II</t>
  </si>
  <si>
    <t>Всего по муниципальной программе</t>
  </si>
  <si>
    <t>инвестиции в объекты муниципальной собственности</t>
  </si>
  <si>
    <t>Всего</t>
  </si>
  <si>
    <t>прочие расходы</t>
  </si>
  <si>
    <r>
      <t xml:space="preserve">Соисполнитель: </t>
    </r>
    <r>
      <rPr>
        <b/>
        <u/>
        <sz val="11"/>
        <rFont val="Times New Roman"/>
        <family val="1"/>
        <charset val="204"/>
      </rPr>
      <t>КУ "КС" города Радужный</t>
    </r>
  </si>
  <si>
    <r>
      <t xml:space="preserve">Соисполнитель: </t>
    </r>
    <r>
      <rPr>
        <b/>
        <u/>
        <sz val="11"/>
        <rFont val="Times New Roman"/>
        <family val="1"/>
        <charset val="204"/>
      </rPr>
      <t>КУ "ДЕЗ по ГХ" города Радужный</t>
    </r>
  </si>
  <si>
    <r>
      <t xml:space="preserve">Соисполнитель: </t>
    </r>
    <r>
      <rPr>
        <b/>
        <u/>
        <sz val="11"/>
        <rFont val="Times New Roman"/>
        <family val="1"/>
        <charset val="204"/>
      </rPr>
      <t>К по УМИ города Радужный</t>
    </r>
  </si>
  <si>
    <t xml:space="preserve">Задача 2. Обновление, модернизация, повышение уровня технического оснащения парка автотранспортных средств, оборудования, автодорожной специализированной техники и  автодорожной инфраструктуры </t>
  </si>
  <si>
    <t>Приобретение автобусов для межмуниципальных перевозок (среднего класса-2шт)</t>
  </si>
  <si>
    <t>Приобретение автобусов для городских перевозок (среднего класса-2шт)</t>
  </si>
  <si>
    <t>Оборудование искусственным освещением автомобильных дорог в местах с повышенной интенсивностью движения, очагах аварийности</t>
  </si>
  <si>
    <t>Задача 2. Обеспечение функционирования сети автомобильных дорог общего пользования местного значения (ремонт, содержание автомобильных дорог, проездов, элементов обустройства  автомобильных дорог, средств обеспечения безопасности дорожного движения)</t>
  </si>
  <si>
    <r>
      <t xml:space="preserve">Реконструкция. </t>
    </r>
    <r>
      <rPr>
        <b/>
        <i/>
        <sz val="8"/>
        <color indexed="12"/>
        <rFont val="Times New Roman"/>
        <family val="1"/>
        <charset val="204"/>
      </rPr>
      <t xml:space="preserve">Кольцевая развязка на пересечении а/д  по ул.№ 8 ( ул.Парковая) и а/д по ул №11 (от моста через р.Аган на Тагринское месторождение)        (63095)               </t>
    </r>
  </si>
  <si>
    <t>Субсидии на возмещение убытков от эксплуатации пассажирского автотранспорта (перевозка пассажиров на городских и детских маршрутах)</t>
  </si>
  <si>
    <t>Ответственный исполнитель/ соисполнитель</t>
  </si>
  <si>
    <r>
      <t xml:space="preserve">Ответственный исполнитель: </t>
    </r>
    <r>
      <rPr>
        <b/>
        <u/>
        <sz val="11"/>
        <rFont val="Times New Roman"/>
        <family val="1"/>
        <charset val="204"/>
      </rPr>
      <t>Управление жилищно-коммунального хозяйства, транспорта и связи администрации города Радужный</t>
    </r>
  </si>
  <si>
    <t xml:space="preserve">Местный бюджет </t>
  </si>
  <si>
    <t>Автодорога, ул.Восточная, от перекрестка с автодорогой Радужный-куст 249, участок 1.1, ПК4+75,6 до ПК3+91,40 по улице Восточной 22 микрорайон</t>
  </si>
  <si>
    <t>Участок №2 автодороги от конца участка №1 автодороги в Южной промышленной зоне до границы муниципального образования в районе ВГПЗ 2 очередь</t>
  </si>
  <si>
    <t xml:space="preserve">Установка пешеходных светофоров и световых табло с изменяющейся информацией на пешеходных переходах </t>
  </si>
  <si>
    <t>Ремонт автомобильных дорог, объектов улично-дорожной сети и искусственных сооружений на них</t>
  </si>
  <si>
    <t>Содержание автомобильных дорог и искусственных сооружений на них</t>
  </si>
  <si>
    <t>Приобретение спецтехники для  ремонта  и содержания дорог: (самосвал г/п 20тн-3шт, самосвал г/п 10тн-2шт, грузовая г/п 5тн-1шт, машина вакуумная (ассенизаторная, V=5м3) -1шт, автогрейдер-2шт, трактор колесный с навесным оборудованием(сварочный агрегат)-1шт, экскаватор емк.ковша 0,8м3-1шт, машина дорожная комбинированная-пескоразбрасыва-тель - 1шт, трактор колесный с навесным оборудованием-2шт, оборудование  для ямоч-ного  ремонта-1шт, разметочная  машина-2шт).</t>
  </si>
  <si>
    <t>Приобретение автобусов (малого класса-2шт)</t>
  </si>
  <si>
    <t>Строительство светофорного объекта на пересечении автомобильных дорог ул.50 лет Победы - ул.Парковая</t>
  </si>
  <si>
    <t>исполнено (касса), всего</t>
  </si>
  <si>
    <t>% исполнения к факту</t>
  </si>
  <si>
    <t>бюджет автономного округа</t>
  </si>
  <si>
    <t>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</si>
  <si>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</si>
  <si>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</si>
  <si>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</si>
  <si>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</si>
  <si>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</si>
  <si>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</si>
  <si>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</si>
  <si>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</si>
  <si>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</si>
  <si>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</si>
  <si>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</si>
  <si>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</si>
  <si>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5</t>
  </si>
  <si>
    <t>6</t>
  </si>
  <si>
    <t>14</t>
  </si>
  <si>
    <t>16</t>
  </si>
  <si>
    <t>17</t>
  </si>
  <si>
    <t>18</t>
  </si>
  <si>
    <t>19</t>
  </si>
  <si>
    <t>Источник финансирования</t>
  </si>
  <si>
    <t>Установка светофорного объекта на пересечении автомобильных дорог ул.50 лет Победы - ул. Парковая</t>
  </si>
  <si>
    <t>план</t>
  </si>
  <si>
    <t>факт</t>
  </si>
  <si>
    <t xml:space="preserve">(в редакции от </t>
  </si>
  <si>
    <t xml:space="preserve"> Мост через реку Агрн - Еган в г.Радужный (ПИР)</t>
  </si>
  <si>
    <t>1).  Строительство, реконструкция автомобильных дорог общего пользования  местного значения и  дорожных сооружений на них</t>
  </si>
  <si>
    <t>Наименование мероприятий муниципальной программы</t>
  </si>
  <si>
    <t>2.18</t>
  </si>
  <si>
    <t>2.19</t>
  </si>
  <si>
    <t>2.20</t>
  </si>
  <si>
    <t>в том числе</t>
  </si>
  <si>
    <t>инвестиции в объекты муниципальной собственности (№ меропр.1.1,1.2)</t>
  </si>
  <si>
    <r>
      <t xml:space="preserve">прочие расходы, кроме расходов по текущей деятельности: </t>
    </r>
    <r>
      <rPr>
        <sz val="10"/>
        <color indexed="12"/>
        <rFont val="Times New Roman"/>
        <family val="1"/>
        <charset val="204"/>
      </rPr>
      <t>Подпрограмма I "Автомобильные дороги" (задача 1, подраздел 2), задача 2 п.2.1, 2.2.; Подпрограмма II "Автомобильный транспорт", задача 1, п.1.1.</t>
    </r>
  </si>
  <si>
    <t>20</t>
  </si>
  <si>
    <t>1 квартал</t>
  </si>
  <si>
    <t>21</t>
  </si>
  <si>
    <t>22</t>
  </si>
  <si>
    <t xml:space="preserve">Пояснительная записка </t>
  </si>
  <si>
    <t>1. Сведения о результатах реализации муниципальной программы и причинах невыполнения программных мероприятий.</t>
  </si>
  <si>
    <t>1.2.</t>
  </si>
  <si>
    <t>Базовый показатель на начало реализации муниципа-льной программы</t>
  </si>
  <si>
    <t>В том числе</t>
  </si>
  <si>
    <t>23</t>
  </si>
  <si>
    <t>исполнитель: начальник управления жилищно-коммунального хозяйства, транспорта и связи  тел.8(34668) 25751</t>
  </si>
  <si>
    <t>Т.И.Голубева</t>
  </si>
  <si>
    <t>Автомобильная дорога по улице №2,  участок №2, участок автодороги от улицы №3 до моста через реку Агрн-Еган</t>
  </si>
  <si>
    <t>Исполнитель: начальник управления ЖКХ,</t>
  </si>
  <si>
    <t>транспорта и связи Т.И.Голубева, тел. 25751</t>
  </si>
  <si>
    <t xml:space="preserve">Устройство дополнительного освещения и  пешеходных светофоров в местах с повышенной аварийностью (нерегулируемые пешеходные переходы), переоборудование светофорных объектов по фазам движения пешеходов и транспорта </t>
  </si>
  <si>
    <t>проверочная строка</t>
  </si>
  <si>
    <r>
      <t>Задача 2. Обновление, модернизация, повышение уровня технического оснащения парка автотранспортных средств, оборудования, автодорожной специализированной техники и  автодорожной инфраструктуры</t>
    </r>
    <r>
      <rPr>
        <b/>
        <sz val="10"/>
        <rFont val="Arial Cyr"/>
        <charset val="204"/>
      </rPr>
      <t xml:space="preserve"> </t>
    </r>
  </si>
  <si>
    <r>
      <t>Южная промышленная зона, участок улицы Н.Н. Суслика от пересечения улиц Нижневартовский тракт и Н.Н. Суслика  до строения №34</t>
    </r>
    <r>
      <rPr>
        <sz val="10"/>
        <rFont val="Arial Cyr"/>
        <charset val="204"/>
      </rPr>
      <t xml:space="preserve"> - снято финансирование.</t>
    </r>
  </si>
  <si>
    <t>Задача 2. Обеспечение функционирования сети автомобильных дорог общего пользования местного значения (ремонт, содержание автомобильных дорог, проездов, элементов обустройства  автомобильных дорог, средств обеспечения безопасности дорожного движения).</t>
  </si>
  <si>
    <t>Обустройство опасных участков улично-дорожной сети дорожными ограждениями и замена ограждений, не отвечающих требованиям нормативов - работы по установке дорожных ограждений - 741м.п.</t>
  </si>
  <si>
    <t>506,6 к-т</t>
  </si>
  <si>
    <t>Задача 01. Строительство, реконструкция, капитальный ремонт, ремонт и содержание автомобильных дорог общего пользования  местного значения.</t>
  </si>
  <si>
    <t xml:space="preserve"> Основное мероприятие. Строительство, реконструкция  и капитальный ремонт автомобильных дорог общего пользования  местного значения и  дорожных сооружений на них</t>
  </si>
  <si>
    <t>1.1.1</t>
  </si>
  <si>
    <t>1.1.2</t>
  </si>
  <si>
    <t>Автомобильная дорога  по улице №1-12, участок  №2 автодороги от улицы №3 до улицы №11  (ул.Новая)</t>
  </si>
  <si>
    <t>Улица Детская</t>
  </si>
  <si>
    <t>1.1.6.</t>
  </si>
  <si>
    <t>1.1.7.</t>
  </si>
  <si>
    <t>1.1.13.</t>
  </si>
  <si>
    <t>Установка светофорного объекта на пересечении автомобильных дорог ул. Казамкина -ул. Светлая</t>
  </si>
  <si>
    <t xml:space="preserve">Основное мероприятие. Обеспечение функционирования сети автомобильных дорог общего пользования местного значения </t>
  </si>
  <si>
    <t>Итого по подпрограмме I "Автомобильные дороги"</t>
  </si>
  <si>
    <t>Задача 01. Обеспечение доступности и повышение качества транспортных услуг автомобильным транспортом</t>
  </si>
  <si>
    <t>2.1.1.</t>
  </si>
  <si>
    <t>Основное мероприятие. Обеспечение доступности и повышение качества транспортных услуг автомобильным транспортом</t>
  </si>
  <si>
    <t>Итого по подпрограмме II "Автомобильный транспорт"</t>
  </si>
  <si>
    <t>Увеличение протяженности сети автомобильных дорог общего пользования местного  значения, км.</t>
  </si>
  <si>
    <t>Увеличение протяженности сети автомобильных дорог общего пользования местного значения с капитальным типом покрытия, км</t>
  </si>
  <si>
    <t>Увеличение протяженности автомобильных дорог общего пользования местного значения,  соответствующих нормативным требованиям к транспортно-эксплуатационным показателям, км</t>
  </si>
  <si>
    <t>Увеличение протяженности автомобильных дорог общего пользования местного значения, приходящаяся на 1000 чел. населения, км/1000 чел.</t>
  </si>
  <si>
    <t>Сокращение протяженности автомобильных дорог общего пользования местного значения, не соответствующих нормативным требованиям к транспортно-эксплуатационным показателям, км</t>
  </si>
  <si>
    <t xml:space="preserve">Увеличение протяженности автомобильных дорог и дорожных сооружений на них, обеспеченных  нормативным содержанием </t>
  </si>
  <si>
    <t>Увеличение объема пассажирских перевозок автомобильным транспортом на городских маршрутах, тыс.чел.</t>
  </si>
  <si>
    <t>Значение показателя на 2016 год</t>
  </si>
  <si>
    <t>1.1.1.</t>
  </si>
  <si>
    <t>1.1.2.</t>
  </si>
  <si>
    <t>Строительство, реконструкция автомобильных дорог общего пользования  местного значения и  дорожных сооружений на них</t>
  </si>
  <si>
    <t xml:space="preserve"> Итого: Строительство, реконструкция автомобильных дорог общего пользования  местного значения и  дорожных сооружений на них</t>
  </si>
  <si>
    <t>Итого: Капитальный ремонт дорог и дорожных сооружений на них</t>
  </si>
  <si>
    <t>Целевые показатели муниципальной программы   «Развитие транспортной системы города Радужный на 2016 - 2020 годы»</t>
  </si>
  <si>
    <t>1.1.14.</t>
  </si>
  <si>
    <t>1.1.15.</t>
  </si>
  <si>
    <t>1.1.16.</t>
  </si>
  <si>
    <t>1.2.1.</t>
  </si>
  <si>
    <t>1.2.2.</t>
  </si>
  <si>
    <t xml:space="preserve">Комплексный план ( сетевой график ) по реализации   муниципальной программы </t>
  </si>
  <si>
    <t>«Развитие транспортной системы города Радужный на 2016-2020 годы» по городу Радужный в 2016 году</t>
  </si>
  <si>
    <r>
      <t>Субсидии на возмещение убытков от эксплуатации пассажирского автотранспорта (перевозка пассажиров на городских и детских маршрутах) -</t>
    </r>
    <r>
      <rPr>
        <sz val="10"/>
        <rFont val="Arial Cyr"/>
        <charset val="204"/>
      </rPr>
      <t xml:space="preserve"> субсидирование предприятия УП СА по ООГХ, выполняющего перевозку пассажиров на муниципальных маршрутах регулярных перевозок города Радужный осуществляется в рамках Соглашения на предоставления субсидии </t>
    </r>
    <r>
      <rPr>
        <sz val="10"/>
        <color indexed="12"/>
        <rFont val="Arial Cyr"/>
        <charset val="204"/>
      </rPr>
      <t xml:space="preserve">№ 164/С-2016 от 29.12.2015. </t>
    </r>
  </si>
  <si>
    <t>Участок №2 автодороги от конца участка №1 автодороги в Южной промышленной зоне до границы муниципального образования в районе ВГПЗ 2 очередь - проектные работы выполнены в 2014 году. Получено положительное заключение экспертизы на инженерно-изыскательские работы. В проект вносятся изменения, далее он будет направлен на госэкспертизу.</t>
  </si>
  <si>
    <t>“Краткая информация о результатах реализации программы”</t>
  </si>
  <si>
    <t>Выполняются проектно-изыскательские работы по реконструкции участка №2 дороги по ул.Новая (1,654 км)</t>
  </si>
  <si>
    <t>Бесперебойно осуществляются пассажирские перевозки на городских маршрутах, из средств местного бюджета предприятию-перевозчику выплачивается ежемесячно субсидия на возмещение убытков.</t>
  </si>
  <si>
    <r>
      <t>утверждена постановлением администрации города Радужный от 13.11.2013 №2360 (</t>
    </r>
    <r>
      <rPr>
        <sz val="11"/>
        <color indexed="10"/>
        <rFont val="Times New Roman"/>
        <family val="1"/>
        <charset val="204"/>
      </rPr>
      <t>в редакции от 22.07.2016 №1096</t>
    </r>
    <r>
      <rPr>
        <sz val="11"/>
        <rFont val="Times New Roman"/>
        <family val="1"/>
        <charset val="204"/>
      </rPr>
      <t>)</t>
    </r>
  </si>
  <si>
    <t>№п/п</t>
  </si>
  <si>
    <r>
      <t>Автомобильная дорога по улице №2,  участок №2, участок автодороги от улицы №3 до моста через реку Агрн-Еган.</t>
    </r>
    <r>
      <rPr>
        <sz val="10"/>
        <rFont val="Arial Cyr"/>
        <charset val="204"/>
      </rPr>
      <t xml:space="preserve"> Стоимость проектных работ превышает объем лимитов, средства 335,6 тыс.руб. будут перераспределены на другое мероприятие</t>
    </r>
    <r>
      <rPr>
        <sz val="10"/>
        <color indexed="10"/>
        <rFont val="Arial Cyr"/>
        <charset val="204"/>
      </rPr>
      <t>.</t>
    </r>
  </si>
  <si>
    <r>
      <t>Ремонт автомобильных дорог, объектов улично-дорожной сети и искусственных сооружений на ни</t>
    </r>
    <r>
      <rPr>
        <sz val="10"/>
        <rFont val="Arial Cyr"/>
        <charset val="204"/>
      </rPr>
      <t>х - в том числе ремонт и обслуживание 9 светофорных объектов. Муниципальный контракт с УП СА по ООГХ №0187300007815000208-0210350-01 от 09.12.2015.Работы по ремонту асфальтового покрытия выполнены.</t>
    </r>
  </si>
  <si>
    <r>
      <t>Устройство дополнительного освещения и  пешеходных светофоров в местах с повышенной аварийностью (нерегулируемые пешеходные переходы), переоборудование светофорных объектов по фазам движения пешеходов и транспорта</t>
    </r>
    <r>
      <rPr>
        <sz val="10"/>
        <rFont val="Arial Cyr"/>
        <charset val="204"/>
      </rPr>
      <t>.  Проектные работы выполнены на 12 пешеходных переходов. Проведен аукцион на приобретение и установку оборудования на 2 пешеходных перехода (школа №3, маг."Руфат"). Заключен муниципальный контракт, работы выполнены, светофоры Т-7  работают в эксплуатационном режиме.</t>
    </r>
  </si>
  <si>
    <t>Содержатся 9 светофорных объектов в исправном эксплуатационном состоянии, выполнены работы по ямочному ремонту асфальтового покрытия дорог (устранение замечаний по актам обследования дорог).</t>
  </si>
  <si>
    <t>В целях обеспечения безопасности дорожного движения запланирована установка светофоров на двух перекрестках - работы в стадии завершения. Обустройство двух пешеходных переходов светофорами Т-7, с установкой дополнительного освещения завершено, пешеходные переходы оснащены по требованиям нормативов.</t>
  </si>
  <si>
    <t xml:space="preserve">к отчету о ходе реализации муниципальной программы «Развитие транспортной системы города Радужный на 2016-2020 годы» по состоянию на 30 сентября 2016г.
</t>
  </si>
  <si>
    <r>
      <t xml:space="preserve">Автомобильная дорога  по улице №1-12, участок  №2 автодороги от улицы №3 до улицы №11  (ул.Новая). </t>
    </r>
    <r>
      <rPr>
        <sz val="10"/>
        <rFont val="Arial Cyr"/>
        <charset val="204"/>
      </rPr>
      <t xml:space="preserve"> Извещение на проведение открытого конкурса на ПИР №0187300007816000008 от 26.01.2016. Заключен муниципальный контракт №6-П/р от 14.03.2016 на сумму 3000 тыс.руб. с ООО "АТ" на проектно-изыскательские работы, срок выполнения 15.11.2016.  Выполнены инженерные изыскания на сумму 416,98 тыс.руб. Выполнены и оплачены проектные работы  на сумму 2122,47 тыс.руб. Проект направлен на государственную экспертизу.</t>
    </r>
  </si>
  <si>
    <r>
      <t xml:space="preserve">Мост через реку Агрн - Еган в г.Радужный. </t>
    </r>
    <r>
      <rPr>
        <sz val="10"/>
        <rFont val="Arial Cyr"/>
        <charset val="204"/>
      </rPr>
      <t xml:space="preserve"> Получено положительное заключение: госэкспертизы проектной документации №86-1-1-3-0006-16 от 15.01.2016,  ценовой экспертизы №86-7-8-0001-16 от 15.01.2016, стоимость капитального ремонта - 36350 тыс.руб. Экономия средств по ул.Детская перераспределена на капитальный ремонт моста в сумме 7967,4 тыс.руб. (7759 тыс.руб. - округ, 408,4 тыс.руб. - местный бюджет. Заключен муниципальный контракт с АО "ГК "Северавтодор" №0187300007816000057-0303464-01 от 22.06.2016г. на сумму 37491392,04 руб. (срок выполнения 30.11.2018г.) С 01.07.2016 ведутся работы по замене железобетонных балок моста, бетонирование опор. Сдано выполнение на сумму 3829,7 тыс.руб.Готовится претензионное письмо АО "ГК "Северавтодор, по результатам 9 мес.2016г., о срыве сроков строительства и  отставанию  от календарного графика к муниципальному контракту №0187300007816000057-0303464-01 от 22.06.2016г.</t>
    </r>
  </si>
  <si>
    <r>
      <t xml:space="preserve">Установка светофоров на пересечении автомобильных дорог ул.50 лет Победы - ул. Парковая </t>
    </r>
    <r>
      <rPr>
        <sz val="10"/>
        <rFont val="Arial Cyr"/>
        <charset val="204"/>
      </rPr>
      <t xml:space="preserve">- выполнение мероприятия согласно проекта организации дорожного движения ( ПОДД). Выполнены проектные работы. Приобретено оборудование. Подготовлена конкурсная документация на установку светофоров,  аукцион в мае не состоялся (отсутствие претендентов), повторно будет объявлен в июле месяце 2016 года (средства предусмотрены 1113,41, в программу внесены изменения ). Заключен муниципальный контракт 0187300007816000103-0210350-01, работы по установке светофоров в стадии  завершения. </t>
    </r>
  </si>
  <si>
    <r>
      <t>Установка светофоров на пересечении автомобильных дорог ул. Казамкина -ул. Светлая</t>
    </r>
    <r>
      <rPr>
        <sz val="10"/>
        <rFont val="Arial Cyr"/>
        <charset val="204"/>
      </rPr>
      <t xml:space="preserve"> -выполнение мероприятия согласно проекта организации дорожного движения ( ПОДД). Выполнены проектные работы.   Приобретено оборудование.  Подготовлена конкурсная документация на установку светофоров, аукцион в мае не состоялся (отсутствие претендентов), повторно объявлен в июне месяце 2016 года, состоится 07.07.2016. Заключен муниципальный контракт 0187300007816000091-0210350-01 от 22.07.2016, работы по установке светофоров в стадии завершения. </t>
    </r>
  </si>
  <si>
    <r>
      <t>Улица Детская.</t>
    </r>
    <r>
      <rPr>
        <sz val="10"/>
        <rFont val="Arial Cyr"/>
        <charset val="204"/>
      </rPr>
      <t xml:space="preserve"> Переходящий объект строительства 2014-2017 год.  В 2014 году выполнены проектно изыскательские работы. Получено : Положительное заключение государственной экспертизы №86-1-4-0035-15 от 11 февраля 2015 года  Автономного учреждения  Ханты - Мансийского автономного округа -Югры " Управление государственной экспертизы проектной документации и ценообразования в строительстве"; Заключен МК № 0187300007815000091-030367-02 от 21.07.2015 на сумму 48575293,04 руб. с ООО "Грачи". 2016 год: Выполнено асфальтирование (2 слоя) участка дороги (на 1-ом этапе и 2-ом этапе). Обустроены пешеходные дорожки, установлены пешеходные ограждения, освещение, установлены средства регулирования дорожного движения, выполнены 2 искусственные неровности возле пешеходых переходов в районе детских учреждений. Фактическое выполнение 25426,73 тыс.руб. (96,8%)</t>
    </r>
  </si>
  <si>
    <r>
      <t xml:space="preserve">Содержание автомобильных дорог и искусственных сооружений на них </t>
    </r>
    <r>
      <rPr>
        <sz val="10"/>
        <rFont val="Arial Cyr"/>
        <charset val="204"/>
      </rPr>
      <t>- работы по содержанию дорог выполняются в рамках муниципального контракта № 0187300007815000209-0210350-01 от 23.12.2015, заключен с УП СА по ООГХ города Радужный. Осуществляется сезонное (летнее) содержание дорог:  очистка обочин дорог и вывоз мусора на полигон ТБО. Ремонт дорожного полотна (ямочный), выполнено повторное нанесение дорожной разметки. Ведется подготовка к осенне-зимнему содержанию дорог.</t>
    </r>
  </si>
  <si>
    <t>Завершается строительство улицы Детская (643 м.п.), выполнено 2 слоя асфальтирования, пешеходные тротуары, ограждение, опоры освещения, 2 искусственные неровности, установлены дорожные знаки, выполнена дорожная разметка.</t>
  </si>
  <si>
    <t>Заключен муниципальный контракт на капитальный ремонт моста через реку Агрн-Еган. Работы выполняются, ведется замена ж/б конструкций моста, бетонирование опор (капремонт - 60 м.п.).</t>
  </si>
  <si>
    <t>Обеспечено нормативное содержание автомобильных дорог (сезонное). Выполнено повторное нанесение дорожной разметки. Подготовка  к осенне-зимнему содержанию дорог проведена.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</si>
</sst>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mm/yy"/>
  </numFmts>
  <fonts count="55"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i/>
      <sz val="8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8"/>
      <color indexed="9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7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8"/>
      <color indexed="18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sz val="8"/>
      <color indexed="18"/>
      <name val="Times New Roman"/>
      <family val="1"/>
      <charset val="204"/>
    </font>
    <font>
      <sz val="7"/>
      <color indexed="1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6"/>
      <name val="Arial Cyr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4"/>
      <name val="Arial Cyr"/>
      <charset val="204"/>
    </font>
    <font>
      <sz val="8"/>
      <name val="Arial Cyr"/>
      <family val="2"/>
      <charset val="204"/>
    </font>
    <font>
      <u/>
      <sz val="10"/>
      <name val="Arial Cyr"/>
      <charset val="204"/>
    </font>
    <font>
      <sz val="9"/>
      <name val="Arial Cyr"/>
      <family val="2"/>
      <charset val="204"/>
    </font>
    <font>
      <b/>
      <u/>
      <sz val="10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color indexed="12"/>
      <name val="Times New Roman"/>
      <family val="1"/>
      <charset val="204"/>
    </font>
    <font>
      <b/>
      <u/>
      <sz val="12"/>
      <name val="Arial Cyr"/>
      <charset val="204"/>
    </font>
    <font>
      <sz val="10"/>
      <color indexed="12"/>
      <name val="Arial Cyr"/>
      <charset val="204"/>
    </font>
    <font>
      <sz val="10"/>
      <color indexed="10"/>
      <name val="Arial Cyr"/>
      <charset val="204"/>
    </font>
    <font>
      <sz val="12"/>
      <name val="Calibri"/>
      <family val="2"/>
      <charset val="204"/>
    </font>
    <font>
      <b/>
      <sz val="11"/>
      <color indexed="18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41"/>
      </patternFill>
    </fill>
    <fill>
      <patternFill patternType="solid">
        <fgColor indexed="1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67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/>
    <xf numFmtId="2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5" fontId="19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24" fillId="6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center" wrapText="1"/>
    </xf>
    <xf numFmtId="164" fontId="16" fillId="3" borderId="1" xfId="0" applyNumberFormat="1" applyFont="1" applyFill="1" applyBorder="1" applyAlignment="1">
      <alignment horizontal="center" wrapText="1"/>
    </xf>
    <xf numFmtId="164" fontId="13" fillId="5" borderId="1" xfId="0" applyNumberFormat="1" applyFont="1" applyFill="1" applyBorder="1" applyAlignment="1">
      <alignment horizontal="center" vertical="center"/>
    </xf>
    <xf numFmtId="164" fontId="24" fillId="8" borderId="1" xfId="0" applyNumberFormat="1" applyFont="1" applyFill="1" applyBorder="1" applyAlignment="1">
      <alignment horizontal="center" vertical="center" wrapText="1"/>
    </xf>
    <xf numFmtId="164" fontId="26" fillId="9" borderId="1" xfId="0" applyNumberFormat="1" applyFont="1" applyFill="1" applyBorder="1" applyAlignment="1">
      <alignment horizontal="center" vertical="center"/>
    </xf>
    <xf numFmtId="164" fontId="11" fillId="10" borderId="1" xfId="0" applyNumberFormat="1" applyFont="1" applyFill="1" applyBorder="1" applyAlignment="1">
      <alignment horizontal="center" vertical="center" wrapText="1"/>
    </xf>
    <xf numFmtId="164" fontId="11" fillId="11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26" fillId="5" borderId="1" xfId="0" applyNumberFormat="1" applyFont="1" applyFill="1" applyBorder="1" applyAlignment="1">
      <alignment horizontal="center" vertical="center"/>
    </xf>
    <xf numFmtId="0" fontId="30" fillId="0" borderId="0" xfId="0" applyFont="1"/>
    <xf numFmtId="49" fontId="4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15" fillId="6" borderId="1" xfId="0" applyFont="1" applyFill="1" applyBorder="1" applyAlignment="1">
      <alignment wrapText="1"/>
    </xf>
    <xf numFmtId="164" fontId="7" fillId="5" borderId="1" xfId="0" applyNumberFormat="1" applyFont="1" applyFill="1" applyBorder="1"/>
    <xf numFmtId="0" fontId="8" fillId="0" borderId="1" xfId="0" applyFont="1" applyBorder="1"/>
    <xf numFmtId="0" fontId="20" fillId="12" borderId="1" xfId="0" applyFont="1" applyFill="1" applyBorder="1" applyAlignment="1">
      <alignment wrapText="1"/>
    </xf>
    <xf numFmtId="2" fontId="11" fillId="1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Border="1"/>
    <xf numFmtId="164" fontId="11" fillId="13" borderId="1" xfId="0" applyNumberFormat="1" applyFont="1" applyFill="1" applyBorder="1" applyAlignment="1">
      <alignment horizontal="center" wrapText="1"/>
    </xf>
    <xf numFmtId="0" fontId="3" fillId="14" borderId="1" xfId="0" applyFont="1" applyFill="1" applyBorder="1"/>
    <xf numFmtId="0" fontId="20" fillId="2" borderId="1" xfId="0" applyFont="1" applyFill="1" applyBorder="1" applyAlignment="1">
      <alignment horizontal="left" vertical="center" wrapText="1"/>
    </xf>
    <xf numFmtId="164" fontId="11" fillId="4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164" fontId="11" fillId="6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164" fontId="11" fillId="6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0" fillId="12" borderId="1" xfId="0" applyFont="1" applyFill="1" applyBorder="1" applyAlignment="1">
      <alignment horizontal="left" vertical="center" wrapText="1"/>
    </xf>
    <xf numFmtId="164" fontId="9" fillId="1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164" fontId="3" fillId="0" borderId="0" xfId="0" applyNumberFormat="1" applyFont="1"/>
    <xf numFmtId="2" fontId="19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left" vertical="center" wrapText="1"/>
    </xf>
    <xf numFmtId="164" fontId="6" fillId="15" borderId="1" xfId="0" applyNumberFormat="1" applyFont="1" applyFill="1" applyBorder="1" applyAlignment="1">
      <alignment horizontal="center" vertical="center" wrapText="1"/>
    </xf>
    <xf numFmtId="164" fontId="6" fillId="16" borderId="1" xfId="0" applyNumberFormat="1" applyFont="1" applyFill="1" applyBorder="1" applyAlignment="1">
      <alignment horizontal="center" vertical="center" wrapText="1"/>
    </xf>
    <xf numFmtId="2" fontId="13" fillId="17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/>
    <xf numFmtId="164" fontId="21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166" fontId="11" fillId="3" borderId="1" xfId="0" applyNumberFormat="1" applyFont="1" applyFill="1" applyBorder="1" applyAlignment="1">
      <alignment horizontal="center" wrapText="1"/>
    </xf>
    <xf numFmtId="0" fontId="1" fillId="18" borderId="1" xfId="0" applyFont="1" applyFill="1" applyBorder="1" applyAlignment="1">
      <alignment wrapText="1"/>
    </xf>
    <xf numFmtId="0" fontId="17" fillId="18" borderId="1" xfId="0" applyFont="1" applyFill="1" applyBorder="1" applyAlignment="1">
      <alignment wrapText="1"/>
    </xf>
    <xf numFmtId="0" fontId="12" fillId="18" borderId="1" xfId="0" applyFont="1" applyFill="1" applyBorder="1" applyAlignment="1">
      <alignment horizontal="center" vertical="center" wrapText="1"/>
    </xf>
    <xf numFmtId="164" fontId="11" fillId="18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left" wrapText="1"/>
    </xf>
    <xf numFmtId="164" fontId="24" fillId="5" borderId="1" xfId="0" applyNumberFormat="1" applyFont="1" applyFill="1" applyBorder="1" applyAlignment="1">
      <alignment horizontal="center" wrapText="1"/>
    </xf>
    <xf numFmtId="0" fontId="8" fillId="12" borderId="1" xfId="0" applyFont="1" applyFill="1" applyBorder="1" applyAlignment="1">
      <alignment wrapText="1"/>
    </xf>
    <xf numFmtId="164" fontId="8" fillId="12" borderId="1" xfId="0" applyNumberFormat="1" applyFont="1" applyFill="1" applyBorder="1" applyAlignment="1">
      <alignment horizontal="center" wrapText="1"/>
    </xf>
    <xf numFmtId="9" fontId="8" fillId="0" borderId="1" xfId="0" applyNumberFormat="1" applyFont="1" applyBorder="1" applyAlignment="1">
      <alignment wrapText="1"/>
    </xf>
    <xf numFmtId="0" fontId="1" fillId="12" borderId="1" xfId="0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/>
    <xf numFmtId="0" fontId="3" fillId="4" borderId="1" xfId="0" applyFont="1" applyFill="1" applyBorder="1"/>
    <xf numFmtId="164" fontId="3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/>
    <xf numFmtId="0" fontId="3" fillId="6" borderId="1" xfId="0" applyFont="1" applyFill="1" applyBorder="1"/>
    <xf numFmtId="164" fontId="3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164" fontId="6" fillId="6" borderId="1" xfId="0" applyNumberFormat="1" applyFont="1" applyFill="1" applyBorder="1"/>
    <xf numFmtId="0" fontId="7" fillId="6" borderId="1" xfId="0" applyFont="1" applyFill="1" applyBorder="1"/>
    <xf numFmtId="164" fontId="7" fillId="6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6" borderId="1" xfId="0" applyNumberFormat="1" applyFont="1" applyFill="1" applyBorder="1"/>
    <xf numFmtId="0" fontId="20" fillId="18" borderId="1" xfId="0" applyFont="1" applyFill="1" applyBorder="1" applyAlignment="1">
      <alignment horizontal="left" vertical="center" wrapText="1"/>
    </xf>
    <xf numFmtId="0" fontId="11" fillId="18" borderId="1" xfId="0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horizontal="left" vertical="center" wrapText="1"/>
    </xf>
    <xf numFmtId="164" fontId="11" fillId="18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right" vertical="top" wrapText="1"/>
    </xf>
    <xf numFmtId="0" fontId="6" fillId="12" borderId="1" xfId="0" applyFont="1" applyFill="1" applyBorder="1" applyAlignment="1">
      <alignment vertical="top" wrapText="1"/>
    </xf>
    <xf numFmtId="164" fontId="11" fillId="12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3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8" fillId="0" borderId="0" xfId="1" applyFont="1" applyAlignment="1" applyProtection="1">
      <alignment horizontal="left"/>
    </xf>
    <xf numFmtId="0" fontId="36" fillId="0" borderId="0" xfId="0" applyFont="1" applyAlignment="1">
      <alignment wrapText="1"/>
    </xf>
    <xf numFmtId="0" fontId="37" fillId="0" borderId="0" xfId="0" applyFont="1" applyFill="1" applyBorder="1" applyAlignment="1"/>
    <xf numFmtId="0" fontId="0" fillId="0" borderId="0" xfId="0" applyBorder="1" applyAlignment="1">
      <alignment wrapText="1"/>
    </xf>
    <xf numFmtId="0" fontId="40" fillId="0" borderId="0" xfId="0" applyFont="1"/>
    <xf numFmtId="17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7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4" fontId="7" fillId="0" borderId="0" xfId="0" applyNumberFormat="1" applyFont="1" applyAlignment="1">
      <alignment wrapText="1"/>
    </xf>
    <xf numFmtId="0" fontId="37" fillId="0" borderId="1" xfId="0" applyFont="1" applyBorder="1" applyAlignment="1">
      <alignment horizontal="center" wrapText="1"/>
    </xf>
    <xf numFmtId="0" fontId="43" fillId="0" borderId="1" xfId="0" applyFont="1" applyBorder="1"/>
    <xf numFmtId="14" fontId="3" fillId="0" borderId="0" xfId="0" applyNumberFormat="1" applyFont="1" applyAlignment="1">
      <alignment horizontal="left" wrapText="1"/>
    </xf>
    <xf numFmtId="16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2" fontId="7" fillId="5" borderId="1" xfId="0" applyNumberFormat="1" applyFont="1" applyFill="1" applyBorder="1"/>
    <xf numFmtId="164" fontId="45" fillId="0" borderId="0" xfId="0" applyNumberFormat="1" applyFont="1" applyAlignment="1">
      <alignment horizontal="center"/>
    </xf>
    <xf numFmtId="2" fontId="11" fillId="11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/>
    <xf numFmtId="2" fontId="24" fillId="8" borderId="1" xfId="0" applyNumberFormat="1" applyFont="1" applyFill="1" applyBorder="1" applyAlignment="1">
      <alignment horizontal="center" vertical="center" wrapText="1"/>
    </xf>
    <xf numFmtId="2" fontId="24" fillId="6" borderId="1" xfId="0" applyNumberFormat="1" applyFont="1" applyFill="1" applyBorder="1" applyAlignment="1">
      <alignment horizontal="center" vertical="center" wrapText="1"/>
    </xf>
    <xf numFmtId="2" fontId="6" fillId="15" borderId="1" xfId="0" applyNumberFormat="1" applyFont="1" applyFill="1" applyBorder="1" applyAlignment="1">
      <alignment horizontal="center" vertical="center" wrapText="1"/>
    </xf>
    <xf numFmtId="2" fontId="11" fillId="19" borderId="1" xfId="0" applyNumberFormat="1" applyFont="1" applyFill="1" applyBorder="1" applyAlignment="1">
      <alignment horizontal="center" vertical="center" wrapText="1"/>
    </xf>
    <xf numFmtId="2" fontId="6" fillId="16" borderId="1" xfId="0" applyNumberFormat="1" applyFont="1" applyFill="1" applyBorder="1" applyAlignment="1">
      <alignment horizontal="center" vertical="center" wrapText="1"/>
    </xf>
    <xf numFmtId="2" fontId="26" fillId="17" borderId="1" xfId="0" applyNumberFormat="1" applyFont="1" applyFill="1" applyBorder="1" applyAlignment="1">
      <alignment horizontal="center" vertical="center"/>
    </xf>
    <xf numFmtId="2" fontId="6" fillId="12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/>
    <xf numFmtId="2" fontId="7" fillId="19" borderId="1" xfId="0" applyNumberFormat="1" applyFont="1" applyFill="1" applyBorder="1"/>
    <xf numFmtId="2" fontId="6" fillId="11" borderId="1" xfId="0" applyNumberFormat="1" applyFont="1" applyFill="1" applyBorder="1"/>
    <xf numFmtId="2" fontId="11" fillId="10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 wrapText="1"/>
    </xf>
    <xf numFmtId="2" fontId="13" fillId="9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26" fillId="9" borderId="1" xfId="0" applyNumberFormat="1" applyFont="1" applyFill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24" fillId="9" borderId="1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 wrapText="1"/>
    </xf>
    <xf numFmtId="2" fontId="11" fillId="9" borderId="1" xfId="0" applyNumberFormat="1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2" fontId="26" fillId="7" borderId="1" xfId="0" applyNumberFormat="1" applyFont="1" applyFill="1" applyBorder="1" applyAlignment="1">
      <alignment horizontal="center"/>
    </xf>
    <xf numFmtId="2" fontId="24" fillId="7" borderId="1" xfId="0" applyNumberFormat="1" applyFont="1" applyFill="1" applyBorder="1" applyAlignment="1">
      <alignment horizontal="center"/>
    </xf>
    <xf numFmtId="2" fontId="26" fillId="3" borderId="1" xfId="0" applyNumberFormat="1" applyFont="1" applyFill="1" applyBorder="1" applyAlignment="1">
      <alignment horizontal="center"/>
    </xf>
    <xf numFmtId="2" fontId="24" fillId="3" borderId="1" xfId="0" applyNumberFormat="1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2" fontId="3" fillId="0" borderId="0" xfId="0" applyNumberFormat="1" applyFont="1"/>
    <xf numFmtId="164" fontId="21" fillId="0" borderId="0" xfId="0" applyNumberFormat="1" applyFont="1"/>
    <xf numFmtId="0" fontId="21" fillId="0" borderId="0" xfId="0" applyFont="1"/>
    <xf numFmtId="0" fontId="46" fillId="0" borderId="0" xfId="0" applyFont="1"/>
    <xf numFmtId="0" fontId="47" fillId="0" borderId="0" xfId="0" applyFont="1"/>
    <xf numFmtId="0" fontId="46" fillId="0" borderId="0" xfId="0" applyFont="1" applyAlignment="1">
      <alignment horizontal="left" vertical="center"/>
    </xf>
    <xf numFmtId="2" fontId="21" fillId="0" borderId="0" xfId="0" applyNumberFormat="1" applyFont="1"/>
    <xf numFmtId="0" fontId="5" fillId="12" borderId="1" xfId="0" applyFont="1" applyFill="1" applyBorder="1" applyAlignment="1">
      <alignment horizontal="left" wrapText="1"/>
    </xf>
    <xf numFmtId="2" fontId="15" fillId="12" borderId="1" xfId="0" applyNumberFormat="1" applyFont="1" applyFill="1" applyBorder="1" applyAlignment="1">
      <alignment horizontal="center" wrapText="1"/>
    </xf>
    <xf numFmtId="2" fontId="15" fillId="10" borderId="1" xfId="0" applyNumberFormat="1" applyFont="1" applyFill="1" applyBorder="1" applyAlignment="1">
      <alignment horizontal="center" vertical="center" wrapText="1"/>
    </xf>
    <xf numFmtId="2" fontId="15" fillId="11" borderId="1" xfId="0" applyNumberFormat="1" applyFont="1" applyFill="1" applyBorder="1" applyAlignment="1">
      <alignment horizontal="center" vertical="center" wrapText="1"/>
    </xf>
    <xf numFmtId="164" fontId="15" fillId="10" borderId="1" xfId="0" applyNumberFormat="1" applyFont="1" applyFill="1" applyBorder="1" applyAlignment="1">
      <alignment horizontal="center" vertical="center" wrapText="1"/>
    </xf>
    <xf numFmtId="164" fontId="15" fillId="11" borderId="1" xfId="0" applyNumberFormat="1" applyFont="1" applyFill="1" applyBorder="1" applyAlignment="1">
      <alignment horizontal="center" vertical="center" wrapText="1"/>
    </xf>
    <xf numFmtId="0" fontId="37" fillId="0" borderId="0" xfId="0" applyFont="1"/>
    <xf numFmtId="2" fontId="37" fillId="9" borderId="1" xfId="0" applyNumberFormat="1" applyFont="1" applyFill="1" applyBorder="1"/>
    <xf numFmtId="2" fontId="25" fillId="8" borderId="1" xfId="0" applyNumberFormat="1" applyFont="1" applyFill="1" applyBorder="1" applyAlignment="1">
      <alignment horizontal="center" vertical="center" wrapText="1"/>
    </xf>
    <xf numFmtId="2" fontId="25" fillId="6" borderId="1" xfId="0" applyNumberFormat="1" applyFont="1" applyFill="1" applyBorder="1" applyAlignment="1">
      <alignment horizontal="center" vertical="center" wrapText="1"/>
    </xf>
    <xf numFmtId="2" fontId="37" fillId="5" borderId="1" xfId="0" applyNumberFormat="1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" fontId="15" fillId="9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2" fontId="37" fillId="5" borderId="4" xfId="0" applyNumberFormat="1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2" fontId="15" fillId="12" borderId="1" xfId="0" applyNumberFormat="1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center" vertical="center" wrapText="1"/>
    </xf>
    <xf numFmtId="2" fontId="15" fillId="17" borderId="1" xfId="0" applyNumberFormat="1" applyFont="1" applyFill="1" applyBorder="1" applyAlignment="1">
      <alignment horizontal="center"/>
    </xf>
    <xf numFmtId="2" fontId="15" fillId="17" borderId="1" xfId="0" applyNumberFormat="1" applyFont="1" applyFill="1" applyBorder="1" applyAlignment="1">
      <alignment horizontal="center" vertical="center" wrapText="1"/>
    </xf>
    <xf numFmtId="2" fontId="3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164" fontId="25" fillId="6" borderId="1" xfId="0" applyNumberFormat="1" applyFont="1" applyFill="1" applyBorder="1" applyAlignment="1">
      <alignment horizontal="center" vertical="center" wrapText="1"/>
    </xf>
    <xf numFmtId="2" fontId="15" fillId="20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64" fontId="37" fillId="0" borderId="0" xfId="0" applyNumberFormat="1" applyFont="1"/>
    <xf numFmtId="0" fontId="4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37" fillId="9" borderId="1" xfId="0" applyNumberFormat="1" applyFont="1" applyFill="1" applyBorder="1" applyAlignment="1">
      <alignment horizontal="center"/>
    </xf>
    <xf numFmtId="2" fontId="49" fillId="5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14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5" fillId="12" borderId="1" xfId="0" applyNumberFormat="1" applyFont="1" applyFill="1" applyBorder="1" applyAlignment="1">
      <alignment horizontal="left" wrapText="1"/>
    </xf>
    <xf numFmtId="2" fontId="15" fillId="5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right"/>
    </xf>
    <xf numFmtId="2" fontId="16" fillId="5" borderId="1" xfId="0" applyNumberFormat="1" applyFont="1" applyFill="1" applyBorder="1" applyAlignment="1">
      <alignment horizontal="center" wrapText="1"/>
    </xf>
    <xf numFmtId="2" fontId="16" fillId="11" borderId="1" xfId="0" applyNumberFormat="1" applyFont="1" applyFill="1" applyBorder="1" applyAlignment="1">
      <alignment horizontal="center" vertical="center" wrapText="1"/>
    </xf>
    <xf numFmtId="2" fontId="16" fillId="10" borderId="1" xfId="0" applyNumberFormat="1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2" fontId="17" fillId="5" borderId="1" xfId="0" applyNumberFormat="1" applyFont="1" applyFill="1" applyBorder="1" applyAlignment="1">
      <alignment horizontal="center" vertical="center"/>
    </xf>
    <xf numFmtId="2" fontId="13" fillId="6" borderId="1" xfId="0" applyNumberFormat="1" applyFont="1" applyFill="1" applyBorder="1" applyAlignment="1">
      <alignment horizontal="center" vertical="center"/>
    </xf>
    <xf numFmtId="2" fontId="37" fillId="5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9" fillId="17" borderId="13" xfId="0" applyFont="1" applyFill="1" applyBorder="1" applyAlignment="1">
      <alignment horizontal="center" vertical="center" wrapText="1"/>
    </xf>
    <xf numFmtId="0" fontId="29" fillId="17" borderId="12" xfId="0" applyFont="1" applyFill="1" applyBorder="1" applyAlignment="1">
      <alignment horizontal="center" vertical="center" wrapText="1"/>
    </xf>
    <xf numFmtId="0" fontId="29" fillId="17" borderId="8" xfId="0" applyFont="1" applyFill="1" applyBorder="1" applyAlignment="1">
      <alignment horizontal="center" vertical="center" wrapText="1"/>
    </xf>
    <xf numFmtId="0" fontId="29" fillId="17" borderId="9" xfId="0" applyFont="1" applyFill="1" applyBorder="1" applyAlignment="1">
      <alignment horizontal="center" vertical="center" wrapText="1"/>
    </xf>
    <xf numFmtId="0" fontId="29" fillId="17" borderId="10" xfId="0" applyFont="1" applyFill="1" applyBorder="1" applyAlignment="1">
      <alignment horizontal="center" vertical="center" wrapText="1"/>
    </xf>
    <xf numFmtId="0" fontId="29" fillId="17" borderId="11" xfId="0" applyFont="1" applyFill="1" applyBorder="1" applyAlignment="1">
      <alignment horizontal="center" vertical="center" wrapText="1"/>
    </xf>
    <xf numFmtId="0" fontId="29" fillId="17" borderId="1" xfId="0" applyFont="1" applyFill="1" applyBorder="1" applyAlignment="1">
      <alignment horizontal="center" vertical="center" wrapText="1"/>
    </xf>
    <xf numFmtId="0" fontId="29" fillId="17" borderId="5" xfId="0" applyFont="1" applyFill="1" applyBorder="1" applyAlignment="1">
      <alignment horizontal="center" vertical="center" wrapText="1"/>
    </xf>
    <xf numFmtId="0" fontId="29" fillId="17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wrapText="1"/>
    </xf>
    <xf numFmtId="0" fontId="25" fillId="3" borderId="1" xfId="0" applyFont="1" applyFill="1" applyBorder="1" applyAlignment="1">
      <alignment horizontal="left" wrapText="1"/>
    </xf>
    <xf numFmtId="0" fontId="25" fillId="3" borderId="2" xfId="0" applyFont="1" applyFill="1" applyBorder="1" applyAlignment="1">
      <alignment wrapText="1"/>
    </xf>
    <xf numFmtId="0" fontId="25" fillId="3" borderId="7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164" fontId="13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/>
    <xf numFmtId="0" fontId="11" fillId="0" borderId="1" xfId="0" applyFont="1" applyFill="1" applyBorder="1" applyAlignment="1">
      <alignment wrapText="1"/>
    </xf>
    <xf numFmtId="0" fontId="5" fillId="1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54" fillId="3" borderId="1" xfId="0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left" wrapText="1"/>
    </xf>
    <xf numFmtId="0" fontId="5" fillId="12" borderId="4" xfId="0" applyFont="1" applyFill="1" applyBorder="1" applyAlignment="1">
      <alignment horizontal="left" wrapText="1"/>
    </xf>
    <xf numFmtId="0" fontId="2" fillId="17" borderId="1" xfId="0" applyFont="1" applyFill="1" applyBorder="1" applyAlignment="1">
      <alignment horizontal="left" vertical="center" wrapText="1"/>
    </xf>
    <xf numFmtId="164" fontId="37" fillId="1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0" fontId="7" fillId="0" borderId="0" xfId="0" applyFont="1" applyAlignment="1">
      <alignment wrapText="1"/>
    </xf>
    <xf numFmtId="0" fontId="15" fillId="11" borderId="1" xfId="0" applyFont="1" applyFill="1" applyBorder="1" applyAlignment="1">
      <alignment vertical="center" wrapText="1"/>
    </xf>
    <xf numFmtId="0" fontId="15" fillId="12" borderId="13" xfId="0" applyFont="1" applyFill="1" applyBorder="1" applyAlignment="1">
      <alignment horizontal="left" vertical="center" wrapText="1"/>
    </xf>
    <xf numFmtId="0" fontId="15" fillId="12" borderId="12" xfId="0" applyFont="1" applyFill="1" applyBorder="1" applyAlignment="1">
      <alignment horizontal="left" vertical="center" wrapText="1"/>
    </xf>
    <xf numFmtId="0" fontId="15" fillId="12" borderId="8" xfId="0" applyFont="1" applyFill="1" applyBorder="1" applyAlignment="1">
      <alignment horizontal="left" vertical="center" wrapText="1"/>
    </xf>
    <xf numFmtId="0" fontId="15" fillId="12" borderId="9" xfId="0" applyFont="1" applyFill="1" applyBorder="1" applyAlignment="1">
      <alignment horizontal="left" vertical="center" wrapText="1"/>
    </xf>
    <xf numFmtId="0" fontId="15" fillId="12" borderId="10" xfId="0" applyFont="1" applyFill="1" applyBorder="1" applyAlignment="1">
      <alignment horizontal="left" vertical="center" wrapText="1"/>
    </xf>
    <xf numFmtId="0" fontId="15" fillId="12" borderId="11" xfId="0" applyFont="1" applyFill="1" applyBorder="1" applyAlignment="1">
      <alignment horizontal="left" vertical="center" wrapText="1"/>
    </xf>
    <xf numFmtId="0" fontId="11" fillId="18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4" fillId="0" borderId="5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 wrapText="1"/>
    </xf>
    <xf numFmtId="0" fontId="34" fillId="0" borderId="5" xfId="0" applyFont="1" applyBorder="1" applyAlignment="1">
      <alignment wrapText="1"/>
    </xf>
    <xf numFmtId="0" fontId="34" fillId="0" borderId="14" xfId="0" applyFont="1" applyBorder="1" applyAlignment="1">
      <alignment wrapText="1"/>
    </xf>
    <xf numFmtId="0" fontId="34" fillId="0" borderId="4" xfId="0" applyFont="1" applyBorder="1" applyAlignment="1">
      <alignment wrapText="1"/>
    </xf>
    <xf numFmtId="0" fontId="34" fillId="19" borderId="5" xfId="0" applyFont="1" applyFill="1" applyBorder="1" applyAlignment="1">
      <alignment horizontal="left" vertical="center" wrapText="1"/>
    </xf>
    <xf numFmtId="0" fontId="34" fillId="19" borderId="14" xfId="0" applyFont="1" applyFill="1" applyBorder="1" applyAlignment="1">
      <alignment horizontal="left" vertical="center" wrapText="1"/>
    </xf>
    <xf numFmtId="0" fontId="34" fillId="19" borderId="4" xfId="0" applyFont="1" applyFill="1" applyBorder="1" applyAlignment="1">
      <alignment horizontal="left" vertical="center" wrapText="1"/>
    </xf>
    <xf numFmtId="0" fontId="42" fillId="0" borderId="5" xfId="0" applyFont="1" applyBorder="1" applyAlignment="1">
      <alignment horizontal="left" wrapText="1"/>
    </xf>
    <xf numFmtId="0" fontId="42" fillId="0" borderId="14" xfId="0" applyFont="1" applyBorder="1" applyAlignment="1">
      <alignment horizontal="left" wrapText="1"/>
    </xf>
    <xf numFmtId="0" fontId="42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4" fillId="0" borderId="5" xfId="0" applyFont="1" applyBorder="1" applyAlignment="1">
      <alignment horizontal="left" wrapText="1"/>
    </xf>
    <xf numFmtId="0" fontId="34" fillId="0" borderId="14" xfId="0" applyFont="1" applyBorder="1" applyAlignment="1">
      <alignment horizontal="left" wrapText="1"/>
    </xf>
    <xf numFmtId="0" fontId="34" fillId="0" borderId="4" xfId="0" applyFont="1" applyBorder="1" applyAlignment="1">
      <alignment horizontal="left" wrapText="1"/>
    </xf>
    <xf numFmtId="0" fontId="44" fillId="0" borderId="5" xfId="0" applyFont="1" applyBorder="1" applyAlignment="1">
      <alignment wrapText="1"/>
    </xf>
    <xf numFmtId="0" fontId="42" fillId="0" borderId="14" xfId="0" applyFont="1" applyBorder="1" applyAlignment="1">
      <alignment wrapText="1"/>
    </xf>
    <xf numFmtId="0" fontId="42" fillId="0" borderId="4" xfId="0" applyFont="1" applyBorder="1" applyAlignment="1">
      <alignment wrapText="1"/>
    </xf>
    <xf numFmtId="0" fontId="44" fillId="0" borderId="5" xfId="0" applyFont="1" applyBorder="1" applyAlignment="1">
      <alignment horizontal="left" wrapText="1"/>
    </xf>
    <xf numFmtId="0" fontId="32" fillId="0" borderId="0" xfId="0" applyFont="1" applyAlignment="1">
      <alignment horizontal="center"/>
    </xf>
    <xf numFmtId="0" fontId="32" fillId="0" borderId="0" xfId="0" applyFont="1" applyBorder="1" applyAlignment="1">
      <alignment horizontal="center" vertical="justify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34" fillId="0" borderId="14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42" fillId="0" borderId="5" xfId="0" applyFont="1" applyBorder="1" applyAlignment="1">
      <alignment wrapText="1"/>
    </xf>
    <xf numFmtId="0" fontId="34" fillId="19" borderId="13" xfId="0" applyFont="1" applyFill="1" applyBorder="1" applyAlignment="1">
      <alignment horizontal="left" vertical="center" wrapText="1"/>
    </xf>
    <xf numFmtId="0" fontId="34" fillId="19" borderId="15" xfId="0" applyFont="1" applyFill="1" applyBorder="1" applyAlignment="1">
      <alignment horizontal="left" vertical="center" wrapText="1"/>
    </xf>
    <xf numFmtId="0" fontId="34" fillId="19" borderId="12" xfId="0" applyFont="1" applyFill="1" applyBorder="1" applyAlignment="1">
      <alignment horizontal="left" vertical="center" wrapText="1"/>
    </xf>
    <xf numFmtId="0" fontId="50" fillId="0" borderId="5" xfId="0" applyFont="1" applyBorder="1" applyAlignment="1">
      <alignment wrapText="1"/>
    </xf>
    <xf numFmtId="0" fontId="50" fillId="0" borderId="14" xfId="0" applyFont="1" applyBorder="1" applyAlignment="1">
      <alignment wrapText="1"/>
    </xf>
    <xf numFmtId="0" fontId="50" fillId="0" borderId="4" xfId="0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0" fontId="44" fillId="0" borderId="14" xfId="0" applyFont="1" applyBorder="1" applyAlignment="1">
      <alignment wrapText="1"/>
    </xf>
    <xf numFmtId="0" fontId="44" fillId="0" borderId="4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53" fillId="0" borderId="15" xfId="0" applyFont="1" applyBorder="1"/>
    <xf numFmtId="14" fontId="4" fillId="0" borderId="0" xfId="0" applyNumberFormat="1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190"/>
  <sheetViews>
    <sheetView tabSelected="1" topLeftCell="A3" zoomScaleNormal="80" zoomScaleSheetLayoutView="100" workbookViewId="0">
      <pane xSplit="8" ySplit="5" topLeftCell="U24" activePane="bottomRight" state="frozen"/>
      <selection activeCell="A3" sqref="A3"/>
      <selection pane="topRight" activeCell="I3" sqref="I3"/>
      <selection pane="bottomLeft" activeCell="A8" sqref="A8"/>
      <selection pane="bottomRight" activeCell="G34" sqref="G34"/>
    </sheetView>
  </sheetViews>
  <sheetFormatPr defaultRowHeight="15.75"/>
  <cols>
    <col min="1" max="1" width="5.7109375" style="3" customWidth="1"/>
    <col min="2" max="2" width="38.85546875" style="47" customWidth="1"/>
    <col min="3" max="3" width="11.140625" style="3" customWidth="1"/>
    <col min="4" max="4" width="12.7109375" style="3" customWidth="1"/>
    <col min="5" max="5" width="11.7109375" style="4" customWidth="1"/>
    <col min="6" max="6" width="10" style="3" hidden="1" customWidth="1"/>
    <col min="7" max="7" width="10.140625" style="3" customWidth="1"/>
    <col min="8" max="8" width="2.5703125" style="3" hidden="1" customWidth="1"/>
    <col min="9" max="9" width="8.42578125" style="3" customWidth="1"/>
    <col min="10" max="10" width="8.28515625" style="3" customWidth="1"/>
    <col min="11" max="11" width="8" style="3" customWidth="1"/>
    <col min="12" max="12" width="8.140625" style="3" customWidth="1"/>
    <col min="13" max="13" width="8.5703125" style="3" customWidth="1"/>
    <col min="14" max="14" width="9.140625" style="3"/>
    <col min="15" max="16" width="7.85546875" style="3" hidden="1" customWidth="1"/>
    <col min="17" max="17" width="8.28515625" style="3" customWidth="1"/>
    <col min="18" max="18" width="9.140625" style="3"/>
    <col min="19" max="19" width="8.5703125" style="3" customWidth="1"/>
    <col min="20" max="21" width="8.28515625" style="3" customWidth="1"/>
    <col min="22" max="22" width="8" style="3" customWidth="1"/>
    <col min="23" max="24" width="8.7109375" style="3" customWidth="1"/>
    <col min="25" max="25" width="8.28515625" style="3" customWidth="1"/>
    <col min="26" max="26" width="8.42578125" style="3" customWidth="1"/>
    <col min="27" max="27" width="9.140625" style="3"/>
    <col min="28" max="28" width="9" style="3" customWidth="1"/>
    <col min="29" max="29" width="9.28515625" style="3" customWidth="1"/>
    <col min="30" max="30" width="8.85546875" style="3" customWidth="1"/>
    <col min="31" max="31" width="9.28515625" style="3" customWidth="1"/>
    <col min="32" max="33" width="9" style="3" customWidth="1"/>
    <col min="34" max="34" width="8.85546875" style="3" customWidth="1"/>
    <col min="35" max="35" width="11.5703125" style="3" customWidth="1"/>
    <col min="36" max="16384" width="9.140625" style="3"/>
  </cols>
  <sheetData>
    <row r="1" spans="1:34" ht="13.35" customHeight="1">
      <c r="AG1" s="5"/>
    </row>
    <row r="2" spans="1:34">
      <c r="A2" s="7"/>
      <c r="B2" s="3"/>
      <c r="D2" s="7"/>
      <c r="E2" s="7"/>
      <c r="AG2" s="6"/>
    </row>
    <row r="3" spans="1:34" s="2" customFormat="1">
      <c r="A3" s="1"/>
      <c r="B3" s="243" t="s">
        <v>180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44"/>
    </row>
    <row r="4" spans="1:34" s="2" customFormat="1" ht="18.75" customHeight="1">
      <c r="B4" s="244" t="s">
        <v>181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45"/>
    </row>
    <row r="5" spans="1:34" s="2" customFormat="1" ht="18" customHeight="1">
      <c r="B5" s="2" t="s">
        <v>187</v>
      </c>
      <c r="F5" s="49" t="s">
        <v>113</v>
      </c>
    </row>
    <row r="6" spans="1:34" ht="24.75" customHeight="1">
      <c r="A6" s="248" t="s">
        <v>2</v>
      </c>
      <c r="B6" s="248" t="s">
        <v>116</v>
      </c>
      <c r="C6" s="263" t="s">
        <v>75</v>
      </c>
      <c r="D6" s="248" t="s">
        <v>109</v>
      </c>
      <c r="E6" s="248" t="s">
        <v>63</v>
      </c>
      <c r="F6" s="249" t="s">
        <v>139</v>
      </c>
      <c r="G6" s="249" t="s">
        <v>86</v>
      </c>
      <c r="H6" s="88"/>
      <c r="I6" s="245" t="s">
        <v>90</v>
      </c>
      <c r="J6" s="245"/>
      <c r="K6" s="246" t="s">
        <v>91</v>
      </c>
      <c r="L6" s="246"/>
      <c r="M6" s="245" t="s">
        <v>92</v>
      </c>
      <c r="N6" s="245"/>
      <c r="O6" s="260" t="s">
        <v>124</v>
      </c>
      <c r="P6" s="262"/>
      <c r="Q6" s="260" t="s">
        <v>93</v>
      </c>
      <c r="R6" s="261"/>
      <c r="S6" s="245" t="s">
        <v>94</v>
      </c>
      <c r="T6" s="245"/>
      <c r="U6" s="245" t="s">
        <v>95</v>
      </c>
      <c r="V6" s="245"/>
      <c r="W6" s="245" t="s">
        <v>96</v>
      </c>
      <c r="X6" s="245"/>
      <c r="Y6" s="247" t="s">
        <v>97</v>
      </c>
      <c r="Z6" s="247"/>
      <c r="AA6" s="247" t="s">
        <v>98</v>
      </c>
      <c r="AB6" s="247"/>
      <c r="AC6" s="247" t="s">
        <v>99</v>
      </c>
      <c r="AD6" s="247"/>
      <c r="AE6" s="247" t="s">
        <v>100</v>
      </c>
      <c r="AF6" s="247"/>
      <c r="AG6" s="247" t="s">
        <v>101</v>
      </c>
      <c r="AH6" s="247"/>
    </row>
    <row r="7" spans="1:34" ht="20.25" customHeight="1">
      <c r="A7" s="248"/>
      <c r="B7" s="248"/>
      <c r="C7" s="263"/>
      <c r="D7" s="248"/>
      <c r="E7" s="248"/>
      <c r="F7" s="250"/>
      <c r="G7" s="250"/>
      <c r="H7" s="43" t="s">
        <v>87</v>
      </c>
      <c r="I7" s="43" t="s">
        <v>111</v>
      </c>
      <c r="J7" s="43" t="s">
        <v>112</v>
      </c>
      <c r="K7" s="124" t="s">
        <v>111</v>
      </c>
      <c r="L7" s="124" t="s">
        <v>112</v>
      </c>
      <c r="M7" s="43" t="s">
        <v>111</v>
      </c>
      <c r="N7" s="43" t="s">
        <v>112</v>
      </c>
      <c r="O7" s="43" t="s">
        <v>111</v>
      </c>
      <c r="P7" s="43" t="s">
        <v>112</v>
      </c>
      <c r="Q7" s="43" t="s">
        <v>111</v>
      </c>
      <c r="R7" s="43" t="s">
        <v>112</v>
      </c>
      <c r="S7" s="43" t="s">
        <v>111</v>
      </c>
      <c r="T7" s="43" t="s">
        <v>112</v>
      </c>
      <c r="U7" s="43" t="s">
        <v>111</v>
      </c>
      <c r="V7" s="43" t="s">
        <v>112</v>
      </c>
      <c r="W7" s="43" t="s">
        <v>111</v>
      </c>
      <c r="X7" s="43" t="s">
        <v>112</v>
      </c>
      <c r="Y7" s="43" t="s">
        <v>111</v>
      </c>
      <c r="Z7" s="43" t="s">
        <v>112</v>
      </c>
      <c r="AA7" s="43" t="s">
        <v>111</v>
      </c>
      <c r="AB7" s="43" t="s">
        <v>112</v>
      </c>
      <c r="AC7" s="43" t="s">
        <v>111</v>
      </c>
      <c r="AD7" s="43" t="s">
        <v>112</v>
      </c>
      <c r="AE7" s="43" t="s">
        <v>111</v>
      </c>
      <c r="AF7" s="43" t="s">
        <v>112</v>
      </c>
      <c r="AG7" s="43" t="s">
        <v>111</v>
      </c>
      <c r="AH7" s="43" t="s">
        <v>112</v>
      </c>
    </row>
    <row r="8" spans="1:34" ht="19.5" customHeight="1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39" t="s">
        <v>102</v>
      </c>
      <c r="G8" s="39" t="s">
        <v>103</v>
      </c>
      <c r="H8" s="39" t="s">
        <v>3</v>
      </c>
      <c r="I8" s="39" t="s">
        <v>103</v>
      </c>
      <c r="J8" s="39" t="s">
        <v>3</v>
      </c>
      <c r="K8" s="39" t="s">
        <v>4</v>
      </c>
      <c r="L8" s="39" t="s">
        <v>5</v>
      </c>
      <c r="M8" s="39" t="s">
        <v>6</v>
      </c>
      <c r="N8" s="39" t="s">
        <v>7</v>
      </c>
      <c r="O8" s="39" t="s">
        <v>8</v>
      </c>
      <c r="P8" s="39" t="s">
        <v>9</v>
      </c>
      <c r="Q8" s="39" t="s">
        <v>104</v>
      </c>
      <c r="R8" s="39"/>
      <c r="S8" s="39" t="s">
        <v>105</v>
      </c>
      <c r="T8" s="39"/>
      <c r="U8" s="39" t="s">
        <v>106</v>
      </c>
      <c r="V8" s="39"/>
      <c r="W8" s="39" t="s">
        <v>107</v>
      </c>
      <c r="X8" s="39"/>
      <c r="Y8" s="39" t="s">
        <v>108</v>
      </c>
      <c r="Z8" s="39"/>
      <c r="AA8" s="39" t="s">
        <v>123</v>
      </c>
      <c r="AB8" s="39"/>
      <c r="AC8" s="39" t="s">
        <v>125</v>
      </c>
      <c r="AD8" s="39"/>
      <c r="AE8" s="39" t="s">
        <v>126</v>
      </c>
      <c r="AF8" s="39"/>
      <c r="AG8" s="39" t="s">
        <v>132</v>
      </c>
      <c r="AH8" s="39"/>
    </row>
    <row r="9" spans="1:34" ht="30" customHeight="1">
      <c r="A9" s="43"/>
      <c r="B9" s="265" t="s">
        <v>10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89"/>
    </row>
    <row r="10" spans="1:34" ht="17.25" hidden="1" customHeight="1">
      <c r="A10" s="267" t="s">
        <v>11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90"/>
    </row>
    <row r="11" spans="1:34" s="8" customFormat="1" ht="24.75" hidden="1" customHeight="1">
      <c r="A11" s="23"/>
      <c r="B11" s="266" t="s">
        <v>145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91"/>
    </row>
    <row r="12" spans="1:34" ht="17.25" customHeight="1">
      <c r="A12" s="264"/>
      <c r="B12" s="257" t="s">
        <v>61</v>
      </c>
      <c r="C12" s="257"/>
      <c r="D12" s="41" t="s">
        <v>89</v>
      </c>
      <c r="E12" s="159">
        <f>E13+E14</f>
        <v>162424.02000000002</v>
      </c>
      <c r="F12" s="159">
        <f>F13+F14</f>
        <v>88471.2</v>
      </c>
      <c r="G12" s="159">
        <f>G13+G14</f>
        <v>107304.01115999999</v>
      </c>
      <c r="H12" s="37" t="e">
        <f>H13+H14</f>
        <v>#REF!</v>
      </c>
      <c r="I12" s="159">
        <f t="shared" ref="I12:AH12" si="0">I13+I14</f>
        <v>12571.98</v>
      </c>
      <c r="J12" s="159">
        <f t="shared" si="0"/>
        <v>12571.98</v>
      </c>
      <c r="K12" s="159">
        <f t="shared" si="0"/>
        <v>626.71</v>
      </c>
      <c r="L12" s="159">
        <f t="shared" si="0"/>
        <v>626.71797000000004</v>
      </c>
      <c r="M12" s="159">
        <f t="shared" si="0"/>
        <v>9017.18</v>
      </c>
      <c r="N12" s="159">
        <f>N13+N14</f>
        <v>9016.7659999999996</v>
      </c>
      <c r="O12" s="159">
        <f>I12+K12+M12</f>
        <v>22215.87</v>
      </c>
      <c r="P12" s="159">
        <f>J12+L12+N12</f>
        <v>22215.463969999997</v>
      </c>
      <c r="Q12" s="159">
        <f t="shared" si="0"/>
        <v>12177.24</v>
      </c>
      <c r="R12" s="159">
        <f>R13+R14</f>
        <v>12177.236440000001</v>
      </c>
      <c r="S12" s="159">
        <f t="shared" si="0"/>
        <v>8277.6</v>
      </c>
      <c r="T12" s="159">
        <f t="shared" si="0"/>
        <v>7942.01775</v>
      </c>
      <c r="U12" s="159">
        <f t="shared" si="0"/>
        <v>9188.84</v>
      </c>
      <c r="V12" s="159">
        <f t="shared" si="0"/>
        <v>8465.5310000000009</v>
      </c>
      <c r="W12" s="159">
        <f t="shared" si="0"/>
        <v>20576.629999999997</v>
      </c>
      <c r="X12" s="159">
        <f t="shared" si="0"/>
        <v>20576.621999999999</v>
      </c>
      <c r="Y12" s="159">
        <f t="shared" si="0"/>
        <v>17272.05</v>
      </c>
      <c r="Z12" s="159">
        <f t="shared" si="0"/>
        <v>17272.050999999999</v>
      </c>
      <c r="AA12" s="159">
        <f t="shared" si="0"/>
        <v>18655.13</v>
      </c>
      <c r="AB12" s="159">
        <f t="shared" si="0"/>
        <v>18655.089</v>
      </c>
      <c r="AC12" s="159">
        <f t="shared" si="0"/>
        <v>12818.7</v>
      </c>
      <c r="AD12" s="159">
        <f t="shared" si="0"/>
        <v>0</v>
      </c>
      <c r="AE12" s="159">
        <f t="shared" si="0"/>
        <v>24279.85</v>
      </c>
      <c r="AF12" s="159">
        <f t="shared" si="0"/>
        <v>0</v>
      </c>
      <c r="AG12" s="159">
        <f t="shared" si="0"/>
        <v>16962.11</v>
      </c>
      <c r="AH12" s="159">
        <f t="shared" si="0"/>
        <v>0</v>
      </c>
    </row>
    <row r="13" spans="1:34" ht="19.5" customHeight="1">
      <c r="A13" s="264"/>
      <c r="B13" s="257"/>
      <c r="C13" s="257"/>
      <c r="D13" s="40" t="s">
        <v>88</v>
      </c>
      <c r="E13" s="180">
        <f>E164</f>
        <v>47450.099999999991</v>
      </c>
      <c r="F13" s="177">
        <f>F26+F154</f>
        <v>69934.2</v>
      </c>
      <c r="G13" s="180">
        <f>G164</f>
        <v>27789.074999999997</v>
      </c>
      <c r="H13" s="35" t="e">
        <f>H26+H154</f>
        <v>#REF!</v>
      </c>
      <c r="I13" s="180">
        <f t="shared" ref="I13:AH13" si="1">I164</f>
        <v>0</v>
      </c>
      <c r="J13" s="180">
        <f t="shared" si="1"/>
        <v>0</v>
      </c>
      <c r="K13" s="180">
        <f t="shared" si="1"/>
        <v>0</v>
      </c>
      <c r="L13" s="180">
        <f t="shared" si="1"/>
        <v>0</v>
      </c>
      <c r="M13" s="180">
        <f t="shared" si="1"/>
        <v>0</v>
      </c>
      <c r="N13" s="180">
        <f>N164</f>
        <v>0</v>
      </c>
      <c r="O13" s="180">
        <f t="shared" si="1"/>
        <v>0</v>
      </c>
      <c r="P13" s="180">
        <f t="shared" si="1"/>
        <v>0</v>
      </c>
      <c r="Q13" s="180">
        <f t="shared" si="1"/>
        <v>0</v>
      </c>
      <c r="R13" s="180">
        <f>R164</f>
        <v>0</v>
      </c>
      <c r="S13" s="180">
        <f t="shared" si="1"/>
        <v>0</v>
      </c>
      <c r="T13" s="180">
        <f t="shared" si="1"/>
        <v>0</v>
      </c>
      <c r="U13" s="180">
        <f t="shared" si="1"/>
        <v>1203.57</v>
      </c>
      <c r="V13" s="180">
        <f t="shared" si="1"/>
        <v>1203.5650000000001</v>
      </c>
      <c r="W13" s="180">
        <f t="shared" si="1"/>
        <v>8376.4599999999991</v>
      </c>
      <c r="X13" s="180">
        <f t="shared" si="1"/>
        <v>8376.4599999999991</v>
      </c>
      <c r="Y13" s="180">
        <f t="shared" si="1"/>
        <v>11026.279999999999</v>
      </c>
      <c r="Z13" s="180">
        <f t="shared" si="1"/>
        <v>11026.279999999999</v>
      </c>
      <c r="AA13" s="180">
        <f t="shared" si="1"/>
        <v>7182.76</v>
      </c>
      <c r="AB13" s="180">
        <f t="shared" si="1"/>
        <v>7182.7699999999995</v>
      </c>
      <c r="AC13" s="180">
        <f t="shared" si="1"/>
        <v>5815.1</v>
      </c>
      <c r="AD13" s="180">
        <f t="shared" si="1"/>
        <v>0</v>
      </c>
      <c r="AE13" s="180">
        <f t="shared" si="1"/>
        <v>13845.93</v>
      </c>
      <c r="AF13" s="180">
        <f t="shared" si="1"/>
        <v>0</v>
      </c>
      <c r="AG13" s="180">
        <f t="shared" si="1"/>
        <v>0</v>
      </c>
      <c r="AH13" s="180">
        <f t="shared" si="1"/>
        <v>0</v>
      </c>
    </row>
    <row r="14" spans="1:34" ht="21.75" customHeight="1">
      <c r="A14" s="264"/>
      <c r="B14" s="257"/>
      <c r="C14" s="257"/>
      <c r="D14" s="40" t="s">
        <v>15</v>
      </c>
      <c r="E14" s="181">
        <f>E165+E177</f>
        <v>114973.92000000001</v>
      </c>
      <c r="F14" s="174">
        <f>F27+F155</f>
        <v>18537</v>
      </c>
      <c r="G14" s="181">
        <f>G165+G177</f>
        <v>79514.936159999997</v>
      </c>
      <c r="H14" s="33" t="e">
        <f>H27+H155</f>
        <v>#REF!</v>
      </c>
      <c r="I14" s="181">
        <f t="shared" ref="I14:N14" si="2">I165+I177</f>
        <v>12571.98</v>
      </c>
      <c r="J14" s="181">
        <f t="shared" si="2"/>
        <v>12571.98</v>
      </c>
      <c r="K14" s="181">
        <f t="shared" si="2"/>
        <v>626.71</v>
      </c>
      <c r="L14" s="181">
        <f t="shared" si="2"/>
        <v>626.71797000000004</v>
      </c>
      <c r="M14" s="181">
        <f t="shared" si="2"/>
        <v>9017.18</v>
      </c>
      <c r="N14" s="181">
        <f t="shared" si="2"/>
        <v>9016.7659999999996</v>
      </c>
      <c r="O14" s="182">
        <f t="shared" ref="O14:O21" si="3">I14+K14+M14</f>
        <v>22215.87</v>
      </c>
      <c r="P14" s="182">
        <f t="shared" ref="P14:P21" si="4">J14+L14+N14</f>
        <v>22215.463969999997</v>
      </c>
      <c r="Q14" s="181">
        <f t="shared" ref="Q14:AH14" si="5">Q165+Q177</f>
        <v>12177.24</v>
      </c>
      <c r="R14" s="181">
        <f t="shared" si="5"/>
        <v>12177.236440000001</v>
      </c>
      <c r="S14" s="181">
        <f t="shared" si="5"/>
        <v>8277.6</v>
      </c>
      <c r="T14" s="181">
        <f t="shared" si="5"/>
        <v>7942.01775</v>
      </c>
      <c r="U14" s="181">
        <f t="shared" si="5"/>
        <v>7985.2699999999995</v>
      </c>
      <c r="V14" s="181">
        <f t="shared" si="5"/>
        <v>7261.9660000000003</v>
      </c>
      <c r="W14" s="181">
        <f t="shared" si="5"/>
        <v>12200.17</v>
      </c>
      <c r="X14" s="181">
        <f t="shared" si="5"/>
        <v>12200.162</v>
      </c>
      <c r="Y14" s="181">
        <f t="shared" si="5"/>
        <v>6245.7699999999995</v>
      </c>
      <c r="Z14" s="181">
        <f t="shared" si="5"/>
        <v>6245.7709999999997</v>
      </c>
      <c r="AA14" s="181">
        <f t="shared" si="5"/>
        <v>11472.37</v>
      </c>
      <c r="AB14" s="181">
        <f t="shared" si="5"/>
        <v>11472.319</v>
      </c>
      <c r="AC14" s="181">
        <f t="shared" si="5"/>
        <v>7003.6</v>
      </c>
      <c r="AD14" s="181">
        <f t="shared" si="5"/>
        <v>0</v>
      </c>
      <c r="AE14" s="181">
        <f t="shared" si="5"/>
        <v>10433.92</v>
      </c>
      <c r="AF14" s="181">
        <f t="shared" si="5"/>
        <v>0</v>
      </c>
      <c r="AG14" s="181">
        <f t="shared" si="5"/>
        <v>16962.11</v>
      </c>
      <c r="AH14" s="181">
        <f t="shared" si="5"/>
        <v>0</v>
      </c>
    </row>
    <row r="15" spans="1:34" ht="21.75" customHeight="1">
      <c r="A15" s="128"/>
      <c r="B15" s="258" t="s">
        <v>120</v>
      </c>
      <c r="C15" s="259"/>
      <c r="D15" s="40"/>
      <c r="E15" s="181"/>
      <c r="F15" s="174"/>
      <c r="G15" s="181"/>
      <c r="H15" s="33"/>
      <c r="I15" s="181"/>
      <c r="J15" s="181"/>
      <c r="K15" s="181"/>
      <c r="L15" s="181"/>
      <c r="M15" s="181"/>
      <c r="N15" s="181"/>
      <c r="O15" s="182"/>
      <c r="P15" s="182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</row>
    <row r="16" spans="1:34" ht="21.75" customHeight="1">
      <c r="A16" s="283"/>
      <c r="B16" s="251" t="s">
        <v>121</v>
      </c>
      <c r="C16" s="252"/>
      <c r="D16" s="41" t="s">
        <v>89</v>
      </c>
      <c r="E16" s="181">
        <f>E17+E18</f>
        <v>58875.599999999991</v>
      </c>
      <c r="F16" s="174"/>
      <c r="G16" s="181">
        <f>G17+G18</f>
        <v>27966.176999999996</v>
      </c>
      <c r="H16" s="33"/>
      <c r="I16" s="181">
        <f t="shared" ref="I16:AG16" si="6">I17+I18</f>
        <v>0</v>
      </c>
      <c r="J16" s="181">
        <f t="shared" si="6"/>
        <v>0</v>
      </c>
      <c r="K16" s="181">
        <f t="shared" si="6"/>
        <v>0</v>
      </c>
      <c r="L16" s="181">
        <f t="shared" si="6"/>
        <v>0</v>
      </c>
      <c r="M16" s="181">
        <f t="shared" si="6"/>
        <v>0</v>
      </c>
      <c r="N16" s="181">
        <f t="shared" si="6"/>
        <v>0</v>
      </c>
      <c r="O16" s="182">
        <f t="shared" si="3"/>
        <v>0</v>
      </c>
      <c r="P16" s="182">
        <f t="shared" si="4"/>
        <v>0</v>
      </c>
      <c r="Q16" s="181">
        <f t="shared" si="6"/>
        <v>0</v>
      </c>
      <c r="R16" s="181">
        <f>R17+R18</f>
        <v>0</v>
      </c>
      <c r="S16" s="181">
        <f t="shared" si="6"/>
        <v>0</v>
      </c>
      <c r="T16" s="181">
        <f t="shared" si="6"/>
        <v>0</v>
      </c>
      <c r="U16" s="181">
        <f t="shared" si="6"/>
        <v>1683.9</v>
      </c>
      <c r="V16" s="181">
        <f t="shared" si="6"/>
        <v>1683.89</v>
      </c>
      <c r="W16" s="181">
        <f t="shared" si="6"/>
        <v>8817.33</v>
      </c>
      <c r="X16" s="181">
        <f t="shared" si="6"/>
        <v>8817.3269999999993</v>
      </c>
      <c r="Y16" s="181">
        <f t="shared" si="6"/>
        <v>10352.689999999999</v>
      </c>
      <c r="Z16" s="181">
        <f t="shared" si="6"/>
        <v>10352.689999999999</v>
      </c>
      <c r="AA16" s="181">
        <f t="shared" si="6"/>
        <v>7112.2699999999995</v>
      </c>
      <c r="AB16" s="181">
        <f t="shared" si="6"/>
        <v>7112.2699999999995</v>
      </c>
      <c r="AC16" s="181">
        <f t="shared" si="6"/>
        <v>1313.81</v>
      </c>
      <c r="AD16" s="181">
        <f t="shared" si="6"/>
        <v>0</v>
      </c>
      <c r="AE16" s="181">
        <f t="shared" si="6"/>
        <v>0</v>
      </c>
      <c r="AF16" s="181">
        <f t="shared" si="6"/>
        <v>0</v>
      </c>
      <c r="AG16" s="181">
        <f t="shared" si="6"/>
        <v>0</v>
      </c>
      <c r="AH16" s="181">
        <f>AH17+AH18</f>
        <v>0</v>
      </c>
    </row>
    <row r="17" spans="1:35" ht="21.75" customHeight="1">
      <c r="A17" s="284"/>
      <c r="B17" s="253"/>
      <c r="C17" s="254"/>
      <c r="D17" s="40" t="s">
        <v>88</v>
      </c>
      <c r="E17" s="181">
        <f>E26</f>
        <v>47450.099999999991</v>
      </c>
      <c r="F17" s="174"/>
      <c r="G17" s="181">
        <f>G29+G32</f>
        <v>24150.894999999997</v>
      </c>
      <c r="H17" s="33"/>
      <c r="I17" s="181">
        <f t="shared" ref="I17:AH17" si="7">I29+I32</f>
        <v>0</v>
      </c>
      <c r="J17" s="181">
        <f t="shared" si="7"/>
        <v>0</v>
      </c>
      <c r="K17" s="181">
        <f t="shared" si="7"/>
        <v>0</v>
      </c>
      <c r="L17" s="181">
        <f t="shared" si="7"/>
        <v>0</v>
      </c>
      <c r="M17" s="181">
        <f t="shared" si="7"/>
        <v>0</v>
      </c>
      <c r="N17" s="181">
        <f t="shared" si="7"/>
        <v>0</v>
      </c>
      <c r="O17" s="181">
        <f t="shared" si="7"/>
        <v>0</v>
      </c>
      <c r="P17" s="181">
        <f t="shared" si="7"/>
        <v>0</v>
      </c>
      <c r="Q17" s="181">
        <f t="shared" si="7"/>
        <v>0</v>
      </c>
      <c r="R17" s="181">
        <f t="shared" si="7"/>
        <v>0</v>
      </c>
      <c r="S17" s="181">
        <f t="shared" si="7"/>
        <v>0</v>
      </c>
      <c r="T17" s="181">
        <f t="shared" si="7"/>
        <v>0</v>
      </c>
      <c r="U17" s="181">
        <f t="shared" si="7"/>
        <v>1203.57</v>
      </c>
      <c r="V17" s="181">
        <f t="shared" si="7"/>
        <v>1203.5650000000001</v>
      </c>
      <c r="W17" s="181">
        <f t="shared" si="7"/>
        <v>8376.4599999999991</v>
      </c>
      <c r="X17" s="181">
        <f t="shared" si="7"/>
        <v>8376.4599999999991</v>
      </c>
      <c r="Y17" s="181">
        <f t="shared" si="7"/>
        <v>9834.7999999999993</v>
      </c>
      <c r="Z17" s="181">
        <f t="shared" si="7"/>
        <v>9834.7999999999993</v>
      </c>
      <c r="AA17" s="181">
        <f t="shared" si="7"/>
        <v>4736.07</v>
      </c>
      <c r="AB17" s="181">
        <f t="shared" si="7"/>
        <v>4736.07</v>
      </c>
      <c r="AC17" s="181">
        <f t="shared" si="7"/>
        <v>815.1</v>
      </c>
      <c r="AD17" s="181">
        <f t="shared" si="7"/>
        <v>0</v>
      </c>
      <c r="AE17" s="181">
        <f t="shared" si="7"/>
        <v>0</v>
      </c>
      <c r="AF17" s="181">
        <f t="shared" si="7"/>
        <v>0</v>
      </c>
      <c r="AG17" s="181">
        <f t="shared" si="7"/>
        <v>0</v>
      </c>
      <c r="AH17" s="181">
        <f t="shared" si="7"/>
        <v>0</v>
      </c>
    </row>
    <row r="18" spans="1:35" ht="21.75" customHeight="1">
      <c r="A18" s="285"/>
      <c r="B18" s="255"/>
      <c r="C18" s="256"/>
      <c r="D18" s="40" t="s">
        <v>15</v>
      </c>
      <c r="E18" s="181">
        <f>E27</f>
        <v>11425.5</v>
      </c>
      <c r="F18" s="174"/>
      <c r="G18" s="181">
        <f>G30+G33</f>
        <v>3815.2819999999997</v>
      </c>
      <c r="H18" s="33"/>
      <c r="I18" s="181">
        <f t="shared" ref="I18:AH18" si="8">I30+I33</f>
        <v>0</v>
      </c>
      <c r="J18" s="181">
        <f t="shared" si="8"/>
        <v>0</v>
      </c>
      <c r="K18" s="181">
        <f t="shared" si="8"/>
        <v>0</v>
      </c>
      <c r="L18" s="181">
        <f t="shared" si="8"/>
        <v>0</v>
      </c>
      <c r="M18" s="181">
        <f t="shared" si="8"/>
        <v>0</v>
      </c>
      <c r="N18" s="181">
        <f t="shared" si="8"/>
        <v>0</v>
      </c>
      <c r="O18" s="181">
        <f t="shared" si="8"/>
        <v>0</v>
      </c>
      <c r="P18" s="181">
        <f t="shared" si="8"/>
        <v>0</v>
      </c>
      <c r="Q18" s="181">
        <f t="shared" si="8"/>
        <v>0</v>
      </c>
      <c r="R18" s="181">
        <f t="shared" si="8"/>
        <v>0</v>
      </c>
      <c r="S18" s="181">
        <f t="shared" si="8"/>
        <v>0</v>
      </c>
      <c r="T18" s="181">
        <f t="shared" si="8"/>
        <v>0</v>
      </c>
      <c r="U18" s="181">
        <f t="shared" si="8"/>
        <v>480.33000000000004</v>
      </c>
      <c r="V18" s="181">
        <f t="shared" si="8"/>
        <v>480.32500000000005</v>
      </c>
      <c r="W18" s="181">
        <f t="shared" si="8"/>
        <v>440.87</v>
      </c>
      <c r="X18" s="181">
        <f t="shared" si="8"/>
        <v>440.86700000000002</v>
      </c>
      <c r="Y18" s="181">
        <f t="shared" si="8"/>
        <v>517.89</v>
      </c>
      <c r="Z18" s="181">
        <f t="shared" si="8"/>
        <v>517.89</v>
      </c>
      <c r="AA18" s="181">
        <f t="shared" si="8"/>
        <v>2376.1999999999998</v>
      </c>
      <c r="AB18" s="181">
        <f t="shared" si="8"/>
        <v>2376.1999999999998</v>
      </c>
      <c r="AC18" s="181">
        <f t="shared" si="8"/>
        <v>498.71000000000004</v>
      </c>
      <c r="AD18" s="181">
        <f t="shared" si="8"/>
        <v>0</v>
      </c>
      <c r="AE18" s="181">
        <f t="shared" si="8"/>
        <v>0</v>
      </c>
      <c r="AF18" s="181">
        <f t="shared" si="8"/>
        <v>0</v>
      </c>
      <c r="AG18" s="181">
        <f t="shared" si="8"/>
        <v>0</v>
      </c>
      <c r="AH18" s="181">
        <f t="shared" si="8"/>
        <v>0</v>
      </c>
    </row>
    <row r="19" spans="1:35" ht="24" customHeight="1">
      <c r="A19" s="283"/>
      <c r="B19" s="251" t="s">
        <v>122</v>
      </c>
      <c r="C19" s="252"/>
      <c r="D19" s="41" t="s">
        <v>89</v>
      </c>
      <c r="E19" s="181">
        <f>E20+E21</f>
        <v>103548.42000000001</v>
      </c>
      <c r="F19" s="174"/>
      <c r="G19" s="181">
        <f>G20+G21</f>
        <v>79337.834159999999</v>
      </c>
      <c r="H19" s="33"/>
      <c r="I19" s="181">
        <f t="shared" ref="I19:AG19" si="9">I20+I21</f>
        <v>12571.98</v>
      </c>
      <c r="J19" s="181">
        <f t="shared" si="9"/>
        <v>12571.98</v>
      </c>
      <c r="K19" s="181">
        <f t="shared" si="9"/>
        <v>626.71</v>
      </c>
      <c r="L19" s="181">
        <f t="shared" si="9"/>
        <v>626.71797000000004</v>
      </c>
      <c r="M19" s="181">
        <f t="shared" si="9"/>
        <v>9017.18</v>
      </c>
      <c r="N19" s="181">
        <f t="shared" si="9"/>
        <v>9016.7659999999996</v>
      </c>
      <c r="O19" s="182">
        <f t="shared" si="3"/>
        <v>22215.87</v>
      </c>
      <c r="P19" s="182">
        <f t="shared" si="4"/>
        <v>22215.463969999997</v>
      </c>
      <c r="Q19" s="181">
        <f t="shared" si="9"/>
        <v>12177.24</v>
      </c>
      <c r="R19" s="181">
        <f>R20+R21</f>
        <v>12177.236440000001</v>
      </c>
      <c r="S19" s="181">
        <f t="shared" si="9"/>
        <v>8277.6</v>
      </c>
      <c r="T19" s="181">
        <f t="shared" si="9"/>
        <v>7942.01775</v>
      </c>
      <c r="U19" s="181">
        <f t="shared" si="9"/>
        <v>7504.94</v>
      </c>
      <c r="V19" s="181">
        <f t="shared" si="9"/>
        <v>6781.6410000000005</v>
      </c>
      <c r="W19" s="181">
        <f t="shared" si="9"/>
        <v>11759.3</v>
      </c>
      <c r="X19" s="181">
        <f t="shared" si="9"/>
        <v>11759.295</v>
      </c>
      <c r="Y19" s="181">
        <f t="shared" si="9"/>
        <v>6919.3599999999988</v>
      </c>
      <c r="Z19" s="181">
        <f t="shared" si="9"/>
        <v>6919.360999999999</v>
      </c>
      <c r="AA19" s="181">
        <f t="shared" si="9"/>
        <v>11542.860000000002</v>
      </c>
      <c r="AB19" s="181">
        <f t="shared" si="9"/>
        <v>11542.819</v>
      </c>
      <c r="AC19" s="181">
        <f t="shared" si="9"/>
        <v>11504.89</v>
      </c>
      <c r="AD19" s="181">
        <f t="shared" si="9"/>
        <v>0</v>
      </c>
      <c r="AE19" s="181">
        <f t="shared" si="9"/>
        <v>24279.85</v>
      </c>
      <c r="AF19" s="181">
        <f t="shared" si="9"/>
        <v>0</v>
      </c>
      <c r="AG19" s="181">
        <f t="shared" si="9"/>
        <v>16962.11</v>
      </c>
      <c r="AH19" s="181">
        <f>AH20+AH21</f>
        <v>0</v>
      </c>
    </row>
    <row r="20" spans="1:35" ht="23.25" customHeight="1">
      <c r="A20" s="284"/>
      <c r="B20" s="253"/>
      <c r="C20" s="254"/>
      <c r="D20" s="40" t="s">
        <v>88</v>
      </c>
      <c r="E20" s="181">
        <f>E13-E17</f>
        <v>0</v>
      </c>
      <c r="F20" s="174"/>
      <c r="G20" s="181">
        <f>G13-G17</f>
        <v>3638.1800000000003</v>
      </c>
      <c r="H20" s="33"/>
      <c r="I20" s="181">
        <f t="shared" ref="I20:AG20" si="10">I13-I17</f>
        <v>0</v>
      </c>
      <c r="J20" s="181">
        <f t="shared" si="10"/>
        <v>0</v>
      </c>
      <c r="K20" s="181">
        <f t="shared" si="10"/>
        <v>0</v>
      </c>
      <c r="L20" s="181">
        <f t="shared" si="10"/>
        <v>0</v>
      </c>
      <c r="M20" s="181">
        <f t="shared" si="10"/>
        <v>0</v>
      </c>
      <c r="N20" s="181">
        <f t="shared" si="10"/>
        <v>0</v>
      </c>
      <c r="O20" s="182">
        <f t="shared" si="3"/>
        <v>0</v>
      </c>
      <c r="P20" s="182">
        <f t="shared" si="4"/>
        <v>0</v>
      </c>
      <c r="Q20" s="181">
        <f t="shared" si="10"/>
        <v>0</v>
      </c>
      <c r="R20" s="181">
        <f>R13-R17</f>
        <v>0</v>
      </c>
      <c r="S20" s="181">
        <f t="shared" si="10"/>
        <v>0</v>
      </c>
      <c r="T20" s="181">
        <f t="shared" si="10"/>
        <v>0</v>
      </c>
      <c r="U20" s="181">
        <f t="shared" si="10"/>
        <v>0</v>
      </c>
      <c r="V20" s="181">
        <f t="shared" si="10"/>
        <v>0</v>
      </c>
      <c r="W20" s="181">
        <f t="shared" si="10"/>
        <v>0</v>
      </c>
      <c r="X20" s="181">
        <f t="shared" si="10"/>
        <v>0</v>
      </c>
      <c r="Y20" s="181">
        <f t="shared" si="10"/>
        <v>1191.4799999999996</v>
      </c>
      <c r="Z20" s="181">
        <f t="shared" si="10"/>
        <v>1191.4799999999996</v>
      </c>
      <c r="AA20" s="181">
        <f t="shared" si="10"/>
        <v>2446.6900000000005</v>
      </c>
      <c r="AB20" s="181">
        <f t="shared" si="10"/>
        <v>2446.6999999999998</v>
      </c>
      <c r="AC20" s="181">
        <f t="shared" si="10"/>
        <v>5000</v>
      </c>
      <c r="AD20" s="181">
        <f t="shared" si="10"/>
        <v>0</v>
      </c>
      <c r="AE20" s="181">
        <f t="shared" si="10"/>
        <v>13845.93</v>
      </c>
      <c r="AF20" s="181">
        <f t="shared" si="10"/>
        <v>0</v>
      </c>
      <c r="AG20" s="181">
        <f t="shared" si="10"/>
        <v>0</v>
      </c>
      <c r="AH20" s="181">
        <f>AH13-AH17</f>
        <v>0</v>
      </c>
    </row>
    <row r="21" spans="1:35" ht="26.25" customHeight="1">
      <c r="A21" s="285"/>
      <c r="B21" s="255"/>
      <c r="C21" s="256"/>
      <c r="D21" s="40" t="s">
        <v>15</v>
      </c>
      <c r="E21" s="181">
        <f>E14-E18</f>
        <v>103548.42000000001</v>
      </c>
      <c r="F21" s="174"/>
      <c r="G21" s="181">
        <f>G14-G18</f>
        <v>75699.654159999991</v>
      </c>
      <c r="H21" s="33"/>
      <c r="I21" s="181">
        <f t="shared" ref="I21:AG21" si="11">I14-I18</f>
        <v>12571.98</v>
      </c>
      <c r="J21" s="181">
        <f t="shared" si="11"/>
        <v>12571.98</v>
      </c>
      <c r="K21" s="181">
        <f t="shared" si="11"/>
        <v>626.71</v>
      </c>
      <c r="L21" s="181">
        <f t="shared" si="11"/>
        <v>626.71797000000004</v>
      </c>
      <c r="M21" s="181">
        <f t="shared" si="11"/>
        <v>9017.18</v>
      </c>
      <c r="N21" s="181">
        <f t="shared" si="11"/>
        <v>9016.7659999999996</v>
      </c>
      <c r="O21" s="182">
        <f t="shared" si="3"/>
        <v>22215.87</v>
      </c>
      <c r="P21" s="182">
        <f t="shared" si="4"/>
        <v>22215.463969999997</v>
      </c>
      <c r="Q21" s="181">
        <f t="shared" si="11"/>
        <v>12177.24</v>
      </c>
      <c r="R21" s="181">
        <f>R14-R18</f>
        <v>12177.236440000001</v>
      </c>
      <c r="S21" s="181">
        <f t="shared" si="11"/>
        <v>8277.6</v>
      </c>
      <c r="T21" s="181">
        <f t="shared" si="11"/>
        <v>7942.01775</v>
      </c>
      <c r="U21" s="181">
        <f t="shared" si="11"/>
        <v>7504.94</v>
      </c>
      <c r="V21" s="181">
        <f t="shared" si="11"/>
        <v>6781.6410000000005</v>
      </c>
      <c r="W21" s="181">
        <f t="shared" si="11"/>
        <v>11759.3</v>
      </c>
      <c r="X21" s="181">
        <f t="shared" si="11"/>
        <v>11759.295</v>
      </c>
      <c r="Y21" s="181">
        <f t="shared" si="11"/>
        <v>5727.8799999999992</v>
      </c>
      <c r="Z21" s="181">
        <f t="shared" si="11"/>
        <v>5727.8809999999994</v>
      </c>
      <c r="AA21" s="181">
        <f t="shared" si="11"/>
        <v>9096.1700000000019</v>
      </c>
      <c r="AB21" s="181">
        <f t="shared" si="11"/>
        <v>9096.1189999999988</v>
      </c>
      <c r="AC21" s="181">
        <f t="shared" si="11"/>
        <v>6504.89</v>
      </c>
      <c r="AD21" s="181">
        <f t="shared" si="11"/>
        <v>0</v>
      </c>
      <c r="AE21" s="181">
        <f t="shared" si="11"/>
        <v>10433.92</v>
      </c>
      <c r="AF21" s="181">
        <f t="shared" si="11"/>
        <v>0</v>
      </c>
      <c r="AG21" s="181">
        <f t="shared" si="11"/>
        <v>16962.11</v>
      </c>
      <c r="AH21" s="181">
        <f>AH14-AH18</f>
        <v>0</v>
      </c>
    </row>
    <row r="22" spans="1:35" ht="18" customHeight="1">
      <c r="A22" s="283"/>
      <c r="B22" s="286" t="s">
        <v>11</v>
      </c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</row>
    <row r="23" spans="1:35" ht="20.25" customHeight="1">
      <c r="A23" s="284"/>
      <c r="B23" s="257" t="s">
        <v>145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</row>
    <row r="24" spans="1:35" ht="21.75" customHeight="1">
      <c r="A24" s="285"/>
      <c r="B24" s="286" t="s">
        <v>115</v>
      </c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</row>
    <row r="25" spans="1:35" ht="18.75" customHeight="1">
      <c r="A25" s="264" t="s">
        <v>44</v>
      </c>
      <c r="B25" s="290" t="s">
        <v>146</v>
      </c>
      <c r="C25" s="290"/>
      <c r="D25" s="41" t="s">
        <v>89</v>
      </c>
      <c r="E25" s="159">
        <f>E26+E27</f>
        <v>58875.599999999991</v>
      </c>
      <c r="F25" s="159">
        <f>I25+K25+M25+Q25+S25+U25+W25+Y25+AA25+AC25+AE25+AG25</f>
        <v>58875.6</v>
      </c>
      <c r="G25" s="159">
        <f t="shared" ref="G25:AH25" si="12">G26+G27</f>
        <v>35689.756909999996</v>
      </c>
      <c r="H25" s="159" t="e">
        <f t="shared" si="12"/>
        <v>#REF!</v>
      </c>
      <c r="I25" s="159">
        <f t="shared" si="12"/>
        <v>0</v>
      </c>
      <c r="J25" s="159">
        <f t="shared" si="12"/>
        <v>0</v>
      </c>
      <c r="K25" s="159">
        <f t="shared" si="12"/>
        <v>506.52</v>
      </c>
      <c r="L25" s="159">
        <f t="shared" si="12"/>
        <v>506.52391</v>
      </c>
      <c r="M25" s="159">
        <f t="shared" si="12"/>
        <v>302</v>
      </c>
      <c r="N25" s="159">
        <f t="shared" si="12"/>
        <v>301.58600000000001</v>
      </c>
      <c r="O25" s="159">
        <f t="shared" si="12"/>
        <v>0</v>
      </c>
      <c r="P25" s="159">
        <f t="shared" si="12"/>
        <v>0</v>
      </c>
      <c r="Q25" s="159">
        <f t="shared" si="12"/>
        <v>0</v>
      </c>
      <c r="R25" s="159">
        <f t="shared" si="12"/>
        <v>0</v>
      </c>
      <c r="S25" s="159">
        <f t="shared" si="12"/>
        <v>335.6</v>
      </c>
      <c r="T25" s="159">
        <f t="shared" si="12"/>
        <v>0</v>
      </c>
      <c r="U25" s="159">
        <f t="shared" si="12"/>
        <v>2407.1999999999998</v>
      </c>
      <c r="V25" s="159">
        <f t="shared" si="12"/>
        <v>1683.89</v>
      </c>
      <c r="W25" s="159">
        <f t="shared" si="12"/>
        <v>8817.33</v>
      </c>
      <c r="X25" s="159">
        <f t="shared" si="12"/>
        <v>8817.3269999999993</v>
      </c>
      <c r="Y25" s="159">
        <f t="shared" si="12"/>
        <v>11606.88</v>
      </c>
      <c r="Z25" s="159">
        <f t="shared" si="12"/>
        <v>11606.88</v>
      </c>
      <c r="AA25" s="159">
        <f t="shared" si="12"/>
        <v>12773.52</v>
      </c>
      <c r="AB25" s="159">
        <f t="shared" si="12"/>
        <v>12773.55</v>
      </c>
      <c r="AC25" s="159">
        <f t="shared" si="12"/>
        <v>7551.7000000000007</v>
      </c>
      <c r="AD25" s="159">
        <f t="shared" si="12"/>
        <v>0</v>
      </c>
      <c r="AE25" s="159">
        <f t="shared" si="12"/>
        <v>14574.85</v>
      </c>
      <c r="AF25" s="159">
        <f t="shared" si="12"/>
        <v>0</v>
      </c>
      <c r="AG25" s="159">
        <f t="shared" si="12"/>
        <v>0</v>
      </c>
      <c r="AH25" s="159">
        <f t="shared" si="12"/>
        <v>0</v>
      </c>
    </row>
    <row r="26" spans="1:35" ht="21" customHeight="1">
      <c r="A26" s="264"/>
      <c r="B26" s="290"/>
      <c r="C26" s="290"/>
      <c r="D26" s="40" t="s">
        <v>88</v>
      </c>
      <c r="E26" s="161">
        <f>E35+E154</f>
        <v>47450.099999999991</v>
      </c>
      <c r="F26" s="161">
        <f>I26+K26+M26+Q26+S26+U26+W26+Y26+AA26+AC26+AE26+AG26</f>
        <v>47450.1</v>
      </c>
      <c r="G26" s="161">
        <f t="shared" ref="G26:AH26" si="13">G35+G154</f>
        <v>27789.074999999997</v>
      </c>
      <c r="H26" s="161" t="e">
        <f t="shared" si="13"/>
        <v>#REF!</v>
      </c>
      <c r="I26" s="161">
        <f t="shared" si="13"/>
        <v>0</v>
      </c>
      <c r="J26" s="161">
        <f t="shared" si="13"/>
        <v>0</v>
      </c>
      <c r="K26" s="161">
        <f t="shared" si="13"/>
        <v>0</v>
      </c>
      <c r="L26" s="161">
        <f t="shared" si="13"/>
        <v>0</v>
      </c>
      <c r="M26" s="161">
        <f t="shared" si="13"/>
        <v>0</v>
      </c>
      <c r="N26" s="161">
        <f t="shared" si="13"/>
        <v>0</v>
      </c>
      <c r="O26" s="161">
        <f t="shared" si="13"/>
        <v>0</v>
      </c>
      <c r="P26" s="161">
        <f t="shared" si="13"/>
        <v>0</v>
      </c>
      <c r="Q26" s="161">
        <f t="shared" si="13"/>
        <v>0</v>
      </c>
      <c r="R26" s="161">
        <f t="shared" si="13"/>
        <v>0</v>
      </c>
      <c r="S26" s="161">
        <f t="shared" si="13"/>
        <v>0</v>
      </c>
      <c r="T26" s="161">
        <f t="shared" si="13"/>
        <v>0</v>
      </c>
      <c r="U26" s="161">
        <f t="shared" si="13"/>
        <v>1203.57</v>
      </c>
      <c r="V26" s="161">
        <f t="shared" si="13"/>
        <v>1203.5650000000001</v>
      </c>
      <c r="W26" s="161">
        <f t="shared" si="13"/>
        <v>8376.4599999999991</v>
      </c>
      <c r="X26" s="161">
        <f t="shared" si="13"/>
        <v>8376.4599999999991</v>
      </c>
      <c r="Y26" s="161">
        <f t="shared" si="13"/>
        <v>11026.279999999999</v>
      </c>
      <c r="Z26" s="161">
        <f>Z35+Z154</f>
        <v>11026.279999999999</v>
      </c>
      <c r="AA26" s="161">
        <f t="shared" si="13"/>
        <v>7182.76</v>
      </c>
      <c r="AB26" s="161">
        <f t="shared" si="13"/>
        <v>7182.7699999999995</v>
      </c>
      <c r="AC26" s="161">
        <f t="shared" si="13"/>
        <v>5815.1</v>
      </c>
      <c r="AD26" s="161">
        <f t="shared" si="13"/>
        <v>0</v>
      </c>
      <c r="AE26" s="161">
        <f t="shared" si="13"/>
        <v>13845.93</v>
      </c>
      <c r="AF26" s="161">
        <f t="shared" si="13"/>
        <v>0</v>
      </c>
      <c r="AG26" s="161">
        <f t="shared" si="13"/>
        <v>0</v>
      </c>
      <c r="AH26" s="161">
        <f t="shared" si="13"/>
        <v>0</v>
      </c>
    </row>
    <row r="27" spans="1:35" ht="18.75" customHeight="1">
      <c r="A27" s="264"/>
      <c r="B27" s="290"/>
      <c r="C27" s="290"/>
      <c r="D27" s="40" t="s">
        <v>15</v>
      </c>
      <c r="E27" s="162">
        <f>E36+E155</f>
        <v>11425.5</v>
      </c>
      <c r="F27" s="162">
        <f>I27+K27+M27+Q27+S27+U27+W27+Y27+AA27+AC27+AE27+AG27</f>
        <v>11425.5</v>
      </c>
      <c r="G27" s="162">
        <f t="shared" ref="G27:AH27" si="14">G36+G155</f>
        <v>7900.6819099999993</v>
      </c>
      <c r="H27" s="162" t="e">
        <f t="shared" si="14"/>
        <v>#REF!</v>
      </c>
      <c r="I27" s="162">
        <f t="shared" si="14"/>
        <v>0</v>
      </c>
      <c r="J27" s="162">
        <f t="shared" si="14"/>
        <v>0</v>
      </c>
      <c r="K27" s="162">
        <f t="shared" si="14"/>
        <v>506.52</v>
      </c>
      <c r="L27" s="162">
        <f t="shared" si="14"/>
        <v>506.52391</v>
      </c>
      <c r="M27" s="162">
        <f t="shared" si="14"/>
        <v>302</v>
      </c>
      <c r="N27" s="162">
        <f t="shared" si="14"/>
        <v>301.58600000000001</v>
      </c>
      <c r="O27" s="162">
        <f t="shared" si="14"/>
        <v>0</v>
      </c>
      <c r="P27" s="162">
        <f t="shared" si="14"/>
        <v>0</v>
      </c>
      <c r="Q27" s="162">
        <f t="shared" si="14"/>
        <v>0</v>
      </c>
      <c r="R27" s="162">
        <f t="shared" si="14"/>
        <v>0</v>
      </c>
      <c r="S27" s="162">
        <f t="shared" si="14"/>
        <v>335.6</v>
      </c>
      <c r="T27" s="162">
        <f t="shared" si="14"/>
        <v>0</v>
      </c>
      <c r="U27" s="162">
        <f t="shared" si="14"/>
        <v>1203.6300000000001</v>
      </c>
      <c r="V27" s="162">
        <f t="shared" si="14"/>
        <v>480.32500000000005</v>
      </c>
      <c r="W27" s="162">
        <f t="shared" si="14"/>
        <v>440.87</v>
      </c>
      <c r="X27" s="162">
        <f t="shared" si="14"/>
        <v>440.86700000000002</v>
      </c>
      <c r="Y27" s="162">
        <f t="shared" si="14"/>
        <v>580.6</v>
      </c>
      <c r="Z27" s="162">
        <f>Z36+Z155</f>
        <v>580.6</v>
      </c>
      <c r="AA27" s="162">
        <f t="shared" si="14"/>
        <v>5590.76</v>
      </c>
      <c r="AB27" s="162">
        <f t="shared" si="14"/>
        <v>5590.78</v>
      </c>
      <c r="AC27" s="162">
        <f t="shared" si="14"/>
        <v>1736.6</v>
      </c>
      <c r="AD27" s="162">
        <f t="shared" si="14"/>
        <v>0</v>
      </c>
      <c r="AE27" s="162">
        <f t="shared" si="14"/>
        <v>728.92</v>
      </c>
      <c r="AF27" s="162">
        <f t="shared" si="14"/>
        <v>0</v>
      </c>
      <c r="AG27" s="162">
        <f t="shared" si="14"/>
        <v>0</v>
      </c>
      <c r="AH27" s="162">
        <f t="shared" si="14"/>
        <v>0</v>
      </c>
    </row>
    <row r="28" spans="1:35" ht="18" customHeight="1">
      <c r="A28" s="292" t="s">
        <v>147</v>
      </c>
      <c r="B28" s="317" t="s">
        <v>150</v>
      </c>
      <c r="C28" s="294" t="s">
        <v>13</v>
      </c>
      <c r="D28" s="41" t="s">
        <v>89</v>
      </c>
      <c r="E28" s="236">
        <f>E29+E30</f>
        <v>26279.999999999996</v>
      </c>
      <c r="F28" s="159">
        <f t="shared" ref="F28:F33" si="15">I28+K28+M28+Q28+S28+U28+W28+Y28+AA28+AC28+AE28+AG28</f>
        <v>26279.999999999996</v>
      </c>
      <c r="G28" s="171">
        <f t="shared" ref="G28:AG28" si="16">G29+G30</f>
        <v>25426.726999999995</v>
      </c>
      <c r="H28" s="36">
        <f t="shared" si="16"/>
        <v>0</v>
      </c>
      <c r="I28" s="171">
        <f t="shared" si="16"/>
        <v>0</v>
      </c>
      <c r="J28" s="171">
        <f>J29+J30</f>
        <v>0</v>
      </c>
      <c r="K28" s="171">
        <f t="shared" si="16"/>
        <v>0</v>
      </c>
      <c r="L28" s="171">
        <f>L29+L30</f>
        <v>0</v>
      </c>
      <c r="M28" s="171">
        <f t="shared" si="16"/>
        <v>0</v>
      </c>
      <c r="N28" s="171">
        <f>N29+N30</f>
        <v>0</v>
      </c>
      <c r="O28" s="159">
        <f t="shared" ref="O28:P31" si="17">I28+K28+M28</f>
        <v>0</v>
      </c>
      <c r="P28" s="159">
        <f t="shared" si="17"/>
        <v>0</v>
      </c>
      <c r="Q28" s="171">
        <f t="shared" si="16"/>
        <v>0</v>
      </c>
      <c r="R28" s="159">
        <f>R29+R30</f>
        <v>0</v>
      </c>
      <c r="S28" s="171">
        <f t="shared" si="16"/>
        <v>0</v>
      </c>
      <c r="T28" s="171">
        <f t="shared" si="16"/>
        <v>0</v>
      </c>
      <c r="U28" s="171">
        <f t="shared" si="16"/>
        <v>1266.9199999999998</v>
      </c>
      <c r="V28" s="171">
        <f>V29+V30</f>
        <v>1266.9100000000001</v>
      </c>
      <c r="W28" s="171">
        <f t="shared" si="16"/>
        <v>8817.33</v>
      </c>
      <c r="X28" s="171">
        <f t="shared" si="16"/>
        <v>8817.3269999999993</v>
      </c>
      <c r="Y28" s="171">
        <f t="shared" si="16"/>
        <v>10352.689999999999</v>
      </c>
      <c r="Z28" s="171">
        <f t="shared" si="16"/>
        <v>10352.689999999999</v>
      </c>
      <c r="AA28" s="171">
        <f t="shared" si="16"/>
        <v>4989.7999999999993</v>
      </c>
      <c r="AB28" s="171">
        <f t="shared" si="16"/>
        <v>4989.7999999999993</v>
      </c>
      <c r="AC28" s="171">
        <f t="shared" si="16"/>
        <v>853.26</v>
      </c>
      <c r="AD28" s="171">
        <f t="shared" si="16"/>
        <v>0</v>
      </c>
      <c r="AE28" s="171">
        <f t="shared" si="16"/>
        <v>0</v>
      </c>
      <c r="AF28" s="171">
        <f>AF29+AF30</f>
        <v>0</v>
      </c>
      <c r="AG28" s="171">
        <f t="shared" si="16"/>
        <v>0</v>
      </c>
      <c r="AH28" s="171">
        <f>AH29+AH30</f>
        <v>0</v>
      </c>
      <c r="AI28" s="74">
        <f t="shared" ref="AI28:AI33" si="18">AA28+Y28+W28+U28+O28+Q28+S28+AC28+AE28+AG28</f>
        <v>26279.999999999996</v>
      </c>
    </row>
    <row r="29" spans="1:35" ht="22.5" customHeight="1">
      <c r="A29" s="292"/>
      <c r="B29" s="317"/>
      <c r="C29" s="294"/>
      <c r="D29" s="40" t="s">
        <v>88</v>
      </c>
      <c r="E29" s="172">
        <f>I29+K29+M29+Q29+S29+U29+W29+Y29+AA29+AC29+AE29+AG29</f>
        <v>24965.999999999996</v>
      </c>
      <c r="F29" s="161">
        <f t="shared" si="15"/>
        <v>24965.999999999996</v>
      </c>
      <c r="G29" s="178">
        <f>P29+R29+T29+V29+X29+Z29+AB29+AD29+AF29+AH29</f>
        <v>24150.894999999997</v>
      </c>
      <c r="H29" s="35">
        <v>0</v>
      </c>
      <c r="I29" s="177">
        <v>0</v>
      </c>
      <c r="J29" s="177">
        <v>0</v>
      </c>
      <c r="K29" s="177">
        <v>0</v>
      </c>
      <c r="L29" s="177">
        <v>0</v>
      </c>
      <c r="M29" s="177">
        <v>0</v>
      </c>
      <c r="N29" s="177">
        <v>0</v>
      </c>
      <c r="O29" s="183">
        <f t="shared" si="17"/>
        <v>0</v>
      </c>
      <c r="P29" s="183">
        <f t="shared" si="17"/>
        <v>0</v>
      </c>
      <c r="Q29" s="177">
        <v>0</v>
      </c>
      <c r="R29" s="177">
        <v>0</v>
      </c>
      <c r="S29" s="177">
        <v>0</v>
      </c>
      <c r="T29" s="177">
        <v>0</v>
      </c>
      <c r="U29" s="177">
        <v>1203.57</v>
      </c>
      <c r="V29" s="177">
        <v>1203.5650000000001</v>
      </c>
      <c r="W29" s="177">
        <v>8376.4599999999991</v>
      </c>
      <c r="X29" s="177">
        <v>8376.4599999999991</v>
      </c>
      <c r="Y29" s="177">
        <v>9834.7999999999993</v>
      </c>
      <c r="Z29" s="177">
        <v>9834.7999999999993</v>
      </c>
      <c r="AA29" s="177">
        <v>4736.07</v>
      </c>
      <c r="AB29" s="177">
        <v>4736.07</v>
      </c>
      <c r="AC29" s="177">
        <v>815.1</v>
      </c>
      <c r="AD29" s="177"/>
      <c r="AE29" s="177">
        <v>0</v>
      </c>
      <c r="AF29" s="177">
        <v>0</v>
      </c>
      <c r="AG29" s="177">
        <v>0</v>
      </c>
      <c r="AH29" s="177">
        <v>0</v>
      </c>
      <c r="AI29" s="74">
        <f t="shared" si="18"/>
        <v>24965.999999999996</v>
      </c>
    </row>
    <row r="30" spans="1:35" ht="16.5" customHeight="1">
      <c r="A30" s="292"/>
      <c r="B30" s="317"/>
      <c r="C30" s="294"/>
      <c r="D30" s="40" t="s">
        <v>15</v>
      </c>
      <c r="E30" s="100">
        <f>I30+K30+M30+Q30+S30+U30+W30+Y30+AA30+AC30+AE30+AG30</f>
        <v>1314</v>
      </c>
      <c r="F30" s="162">
        <f t="shared" si="15"/>
        <v>1314</v>
      </c>
      <c r="G30" s="233">
        <f>J30+L30+N30+R30+T30+V30+X30+Z30+AB30+AD30+AF30+AH30</f>
        <v>1275.8319999999999</v>
      </c>
      <c r="H30" s="33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84">
        <f t="shared" si="17"/>
        <v>0</v>
      </c>
      <c r="P30" s="184">
        <f t="shared" si="17"/>
        <v>0</v>
      </c>
      <c r="Q30" s="174">
        <v>0</v>
      </c>
      <c r="R30" s="174">
        <v>0</v>
      </c>
      <c r="S30" s="174">
        <v>0</v>
      </c>
      <c r="T30" s="174">
        <v>0</v>
      </c>
      <c r="U30" s="174">
        <v>63.35</v>
      </c>
      <c r="V30" s="174">
        <v>63.344999999999999</v>
      </c>
      <c r="W30" s="174">
        <v>440.87</v>
      </c>
      <c r="X30" s="174">
        <v>440.86700000000002</v>
      </c>
      <c r="Y30" s="174">
        <v>517.89</v>
      </c>
      <c r="Z30" s="174">
        <f>517.6+0.29</f>
        <v>517.89</v>
      </c>
      <c r="AA30" s="174">
        <v>253.73</v>
      </c>
      <c r="AB30" s="174">
        <v>253.73</v>
      </c>
      <c r="AC30" s="174">
        <v>38.159999999999997</v>
      </c>
      <c r="AD30" s="174">
        <v>0</v>
      </c>
      <c r="AE30" s="174">
        <v>0</v>
      </c>
      <c r="AF30" s="174">
        <v>0</v>
      </c>
      <c r="AG30" s="174">
        <v>0</v>
      </c>
      <c r="AH30" s="174">
        <v>0</v>
      </c>
      <c r="AI30" s="74">
        <f t="shared" si="18"/>
        <v>1314</v>
      </c>
    </row>
    <row r="31" spans="1:35" ht="16.5" customHeight="1">
      <c r="A31" s="292" t="s">
        <v>148</v>
      </c>
      <c r="B31" s="317" t="s">
        <v>149</v>
      </c>
      <c r="C31" s="294" t="s">
        <v>13</v>
      </c>
      <c r="D31" s="41" t="s">
        <v>89</v>
      </c>
      <c r="E31" s="237">
        <f>E32+E33</f>
        <v>3000</v>
      </c>
      <c r="F31" s="159">
        <f t="shared" si="15"/>
        <v>3000</v>
      </c>
      <c r="G31" s="171">
        <f t="shared" ref="G31:AG31" si="19">G32+G33</f>
        <v>2539.4499999999998</v>
      </c>
      <c r="H31" s="36">
        <f t="shared" si="19"/>
        <v>0</v>
      </c>
      <c r="I31" s="171">
        <f t="shared" si="19"/>
        <v>0</v>
      </c>
      <c r="J31" s="171">
        <f>J32+J33</f>
        <v>0</v>
      </c>
      <c r="K31" s="171">
        <f t="shared" si="19"/>
        <v>0</v>
      </c>
      <c r="L31" s="171">
        <f>L32+L33</f>
        <v>0</v>
      </c>
      <c r="M31" s="171">
        <f t="shared" si="19"/>
        <v>0</v>
      </c>
      <c r="N31" s="171">
        <f t="shared" si="19"/>
        <v>0</v>
      </c>
      <c r="O31" s="159">
        <f t="shared" si="17"/>
        <v>0</v>
      </c>
      <c r="P31" s="159">
        <f t="shared" si="17"/>
        <v>0</v>
      </c>
      <c r="Q31" s="171">
        <f t="shared" si="19"/>
        <v>0</v>
      </c>
      <c r="R31" s="159">
        <f>R32+R33</f>
        <v>0</v>
      </c>
      <c r="S31" s="171">
        <f t="shared" si="19"/>
        <v>0</v>
      </c>
      <c r="T31" s="171">
        <f t="shared" si="19"/>
        <v>0</v>
      </c>
      <c r="U31" s="171">
        <f t="shared" si="19"/>
        <v>416.98</v>
      </c>
      <c r="V31" s="171"/>
      <c r="W31" s="171">
        <f t="shared" si="19"/>
        <v>0</v>
      </c>
      <c r="X31" s="171"/>
      <c r="Y31" s="171">
        <f t="shared" si="19"/>
        <v>0</v>
      </c>
      <c r="Z31" s="171">
        <f t="shared" si="19"/>
        <v>0</v>
      </c>
      <c r="AA31" s="171">
        <f t="shared" si="19"/>
        <v>2122.4699999999998</v>
      </c>
      <c r="AB31" s="171">
        <f t="shared" si="19"/>
        <v>2122.4699999999998</v>
      </c>
      <c r="AC31" s="171">
        <f t="shared" si="19"/>
        <v>460.55</v>
      </c>
      <c r="AD31" s="171">
        <f t="shared" si="19"/>
        <v>0</v>
      </c>
      <c r="AE31" s="171">
        <f t="shared" si="19"/>
        <v>0</v>
      </c>
      <c r="AF31" s="171">
        <f>AF32+AF33</f>
        <v>0</v>
      </c>
      <c r="AG31" s="171">
        <f t="shared" si="19"/>
        <v>0</v>
      </c>
      <c r="AH31" s="171">
        <f>AH32+AH33</f>
        <v>0</v>
      </c>
      <c r="AI31" s="74">
        <f t="shared" si="18"/>
        <v>3000</v>
      </c>
    </row>
    <row r="32" spans="1:35" ht="20.25" customHeight="1">
      <c r="A32" s="292"/>
      <c r="B32" s="317"/>
      <c r="C32" s="294"/>
      <c r="D32" s="40" t="s">
        <v>88</v>
      </c>
      <c r="E32" s="172">
        <f>I32+K32+M32+Q32+S32+U32+W32+Y32+AA32+AC32+AE32+AG32</f>
        <v>0</v>
      </c>
      <c r="F32" s="161">
        <f t="shared" si="15"/>
        <v>0</v>
      </c>
      <c r="G32" s="178">
        <f>P32+R32+T32+V32+X32+Z32+AB32+AD32+AF32+AH32</f>
        <v>0</v>
      </c>
      <c r="H32" s="35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83"/>
      <c r="P32" s="183"/>
      <c r="Q32" s="177">
        <v>0</v>
      </c>
      <c r="R32" s="177">
        <v>0</v>
      </c>
      <c r="S32" s="177">
        <v>0</v>
      </c>
      <c r="T32" s="177">
        <v>0</v>
      </c>
      <c r="U32" s="177">
        <v>0</v>
      </c>
      <c r="V32" s="177">
        <v>0</v>
      </c>
      <c r="W32" s="177">
        <v>0</v>
      </c>
      <c r="X32" s="177">
        <v>0</v>
      </c>
      <c r="Y32" s="177">
        <v>0</v>
      </c>
      <c r="Z32" s="177">
        <v>0</v>
      </c>
      <c r="AA32" s="177">
        <v>0</v>
      </c>
      <c r="AB32" s="177">
        <v>0</v>
      </c>
      <c r="AC32" s="177">
        <v>0</v>
      </c>
      <c r="AD32" s="177">
        <v>0</v>
      </c>
      <c r="AE32" s="177">
        <v>0</v>
      </c>
      <c r="AF32" s="177">
        <v>0</v>
      </c>
      <c r="AG32" s="177">
        <v>0</v>
      </c>
      <c r="AH32" s="177">
        <v>0</v>
      </c>
      <c r="AI32" s="74">
        <f t="shared" si="18"/>
        <v>0</v>
      </c>
    </row>
    <row r="33" spans="1:35" ht="16.5" customHeight="1">
      <c r="A33" s="292"/>
      <c r="B33" s="317"/>
      <c r="C33" s="294"/>
      <c r="D33" s="40" t="s">
        <v>15</v>
      </c>
      <c r="E33" s="100">
        <f>I33+K33+M33+Q33+S33+U33+W33+Y33+AA33+AC33+AE33+AG33</f>
        <v>3000</v>
      </c>
      <c r="F33" s="162">
        <f t="shared" si="15"/>
        <v>3000</v>
      </c>
      <c r="G33" s="233">
        <f>J33+L33+N33+R33+T33+V33+X33+Z33+AB33+AD33+AF33+AH33</f>
        <v>2539.4499999999998</v>
      </c>
      <c r="H33" s="33">
        <v>0</v>
      </c>
      <c r="I33" s="162">
        <v>0</v>
      </c>
      <c r="J33" s="162">
        <v>0</v>
      </c>
      <c r="K33" s="162">
        <v>0</v>
      </c>
      <c r="L33" s="162">
        <v>0</v>
      </c>
      <c r="M33" s="162">
        <v>0</v>
      </c>
      <c r="N33" s="162">
        <v>0</v>
      </c>
      <c r="O33" s="184"/>
      <c r="P33" s="184"/>
      <c r="Q33" s="174">
        <v>0</v>
      </c>
      <c r="R33" s="174">
        <v>0</v>
      </c>
      <c r="S33" s="174">
        <v>0</v>
      </c>
      <c r="T33" s="174">
        <v>0</v>
      </c>
      <c r="U33" s="174">
        <v>416.98</v>
      </c>
      <c r="V33" s="174">
        <v>416.98</v>
      </c>
      <c r="W33" s="174"/>
      <c r="X33" s="174"/>
      <c r="Y33" s="174"/>
      <c r="Z33" s="174"/>
      <c r="AA33" s="174">
        <v>2122.4699999999998</v>
      </c>
      <c r="AB33" s="174">
        <v>2122.4699999999998</v>
      </c>
      <c r="AC33" s="174">
        <v>460.55</v>
      </c>
      <c r="AD33" s="174">
        <v>0</v>
      </c>
      <c r="AE33" s="174">
        <v>0</v>
      </c>
      <c r="AF33" s="174">
        <v>0</v>
      </c>
      <c r="AG33" s="174">
        <v>0</v>
      </c>
      <c r="AH33" s="174">
        <v>0</v>
      </c>
      <c r="AI33" s="74">
        <f t="shared" si="18"/>
        <v>3000</v>
      </c>
    </row>
    <row r="34" spans="1:35" ht="18.75" customHeight="1">
      <c r="A34" s="264"/>
      <c r="B34" s="290" t="s">
        <v>172</v>
      </c>
      <c r="C34" s="290"/>
      <c r="D34" s="41" t="s">
        <v>89</v>
      </c>
      <c r="E34" s="159">
        <f>E35+E36</f>
        <v>29279.999999999996</v>
      </c>
      <c r="F34" s="159">
        <f>I34+K34+M34+Q34+S34+U34+W34+Y34+AA34+AC34+AE34+AG34</f>
        <v>29280</v>
      </c>
      <c r="G34" s="159">
        <f t="shared" ref="G34:AH34" si="20">G35+G36</f>
        <v>27966.176999999996</v>
      </c>
      <c r="H34" s="159">
        <f t="shared" si="20"/>
        <v>0</v>
      </c>
      <c r="I34" s="159">
        <f t="shared" si="20"/>
        <v>0</v>
      </c>
      <c r="J34" s="159">
        <f t="shared" si="20"/>
        <v>0</v>
      </c>
      <c r="K34" s="159">
        <f t="shared" si="20"/>
        <v>0</v>
      </c>
      <c r="L34" s="159">
        <f t="shared" si="20"/>
        <v>0</v>
      </c>
      <c r="M34" s="159">
        <f t="shared" si="20"/>
        <v>0</v>
      </c>
      <c r="N34" s="159">
        <f t="shared" si="20"/>
        <v>0</v>
      </c>
      <c r="O34" s="159">
        <f t="shared" si="20"/>
        <v>0</v>
      </c>
      <c r="P34" s="159">
        <f t="shared" si="20"/>
        <v>0</v>
      </c>
      <c r="Q34" s="159">
        <f t="shared" si="20"/>
        <v>0</v>
      </c>
      <c r="R34" s="159">
        <f t="shared" si="20"/>
        <v>0</v>
      </c>
      <c r="S34" s="159">
        <f t="shared" si="20"/>
        <v>0</v>
      </c>
      <c r="T34" s="159">
        <f t="shared" si="20"/>
        <v>0</v>
      </c>
      <c r="U34" s="159">
        <f t="shared" si="20"/>
        <v>1683.9</v>
      </c>
      <c r="V34" s="159">
        <f t="shared" si="20"/>
        <v>1683.89</v>
      </c>
      <c r="W34" s="159">
        <f t="shared" si="20"/>
        <v>8817.33</v>
      </c>
      <c r="X34" s="159">
        <f t="shared" si="20"/>
        <v>8817.3269999999993</v>
      </c>
      <c r="Y34" s="159">
        <f t="shared" si="20"/>
        <v>10352.689999999999</v>
      </c>
      <c r="Z34" s="159">
        <f t="shared" si="20"/>
        <v>10352.689999999999</v>
      </c>
      <c r="AA34" s="159">
        <f t="shared" si="20"/>
        <v>7112.2699999999995</v>
      </c>
      <c r="AB34" s="159">
        <f t="shared" si="20"/>
        <v>7112.2699999999995</v>
      </c>
      <c r="AC34" s="159">
        <f t="shared" si="20"/>
        <v>1313.81</v>
      </c>
      <c r="AD34" s="159">
        <f t="shared" si="20"/>
        <v>0</v>
      </c>
      <c r="AE34" s="159">
        <f t="shared" si="20"/>
        <v>0</v>
      </c>
      <c r="AF34" s="159">
        <f t="shared" si="20"/>
        <v>0</v>
      </c>
      <c r="AG34" s="159">
        <f t="shared" si="20"/>
        <v>0</v>
      </c>
      <c r="AH34" s="159">
        <f t="shared" si="20"/>
        <v>0</v>
      </c>
    </row>
    <row r="35" spans="1:35" ht="21" customHeight="1">
      <c r="A35" s="264"/>
      <c r="B35" s="290"/>
      <c r="C35" s="290"/>
      <c r="D35" s="40" t="s">
        <v>88</v>
      </c>
      <c r="E35" s="161">
        <f>E29+E32</f>
        <v>24965.999999999996</v>
      </c>
      <c r="F35" s="161">
        <f>I35+K35+M35+Q35+S35+U35+W35+Y35+AA35+AC35+AE35+AG35</f>
        <v>24965.999999999996</v>
      </c>
      <c r="G35" s="161">
        <f t="shared" ref="G35:AH35" si="21">G29+G32</f>
        <v>24150.894999999997</v>
      </c>
      <c r="H35" s="161">
        <f t="shared" si="21"/>
        <v>0</v>
      </c>
      <c r="I35" s="161">
        <f t="shared" si="21"/>
        <v>0</v>
      </c>
      <c r="J35" s="161">
        <f t="shared" si="21"/>
        <v>0</v>
      </c>
      <c r="K35" s="161">
        <f t="shared" si="21"/>
        <v>0</v>
      </c>
      <c r="L35" s="161">
        <f t="shared" si="21"/>
        <v>0</v>
      </c>
      <c r="M35" s="161">
        <f t="shared" si="21"/>
        <v>0</v>
      </c>
      <c r="N35" s="161">
        <f t="shared" si="21"/>
        <v>0</v>
      </c>
      <c r="O35" s="161">
        <f t="shared" si="21"/>
        <v>0</v>
      </c>
      <c r="P35" s="161">
        <f t="shared" si="21"/>
        <v>0</v>
      </c>
      <c r="Q35" s="161">
        <f t="shared" si="21"/>
        <v>0</v>
      </c>
      <c r="R35" s="161">
        <f t="shared" si="21"/>
        <v>0</v>
      </c>
      <c r="S35" s="161">
        <f t="shared" si="21"/>
        <v>0</v>
      </c>
      <c r="T35" s="161">
        <f t="shared" si="21"/>
        <v>0</v>
      </c>
      <c r="U35" s="161">
        <f t="shared" si="21"/>
        <v>1203.57</v>
      </c>
      <c r="V35" s="161">
        <f t="shared" si="21"/>
        <v>1203.5650000000001</v>
      </c>
      <c r="W35" s="161">
        <f t="shared" si="21"/>
        <v>8376.4599999999991</v>
      </c>
      <c r="X35" s="161">
        <f t="shared" si="21"/>
        <v>8376.4599999999991</v>
      </c>
      <c r="Y35" s="161">
        <f t="shared" si="21"/>
        <v>9834.7999999999993</v>
      </c>
      <c r="Z35" s="161">
        <f t="shared" si="21"/>
        <v>9834.7999999999993</v>
      </c>
      <c r="AA35" s="161">
        <f t="shared" si="21"/>
        <v>4736.07</v>
      </c>
      <c r="AB35" s="161">
        <f t="shared" si="21"/>
        <v>4736.07</v>
      </c>
      <c r="AC35" s="161">
        <f t="shared" si="21"/>
        <v>815.1</v>
      </c>
      <c r="AD35" s="161">
        <f t="shared" si="21"/>
        <v>0</v>
      </c>
      <c r="AE35" s="161">
        <f t="shared" si="21"/>
        <v>0</v>
      </c>
      <c r="AF35" s="161">
        <f t="shared" si="21"/>
        <v>0</v>
      </c>
      <c r="AG35" s="161">
        <f t="shared" si="21"/>
        <v>0</v>
      </c>
      <c r="AH35" s="161">
        <f t="shared" si="21"/>
        <v>0</v>
      </c>
    </row>
    <row r="36" spans="1:35" ht="18.75" customHeight="1">
      <c r="A36" s="264"/>
      <c r="B36" s="290"/>
      <c r="C36" s="290"/>
      <c r="D36" s="40" t="s">
        <v>15</v>
      </c>
      <c r="E36" s="162">
        <f>E30+E33</f>
        <v>4314</v>
      </c>
      <c r="F36" s="162">
        <f>I36+K36+M36+Q36+S36+U36+W36+Y36+AA36+AC36+AE36+AG36</f>
        <v>4314</v>
      </c>
      <c r="G36" s="181">
        <f>J36+L36+N36+R36+T36+V36+X36+Z36+AB36+AD36+AF36+AH36</f>
        <v>3815.2819999999997</v>
      </c>
      <c r="H36" s="162">
        <f t="shared" ref="H36:AH36" si="22">H30+H33</f>
        <v>0</v>
      </c>
      <c r="I36" s="162">
        <f t="shared" si="22"/>
        <v>0</v>
      </c>
      <c r="J36" s="162">
        <f t="shared" si="22"/>
        <v>0</v>
      </c>
      <c r="K36" s="162">
        <f t="shared" si="22"/>
        <v>0</v>
      </c>
      <c r="L36" s="162">
        <f t="shared" si="22"/>
        <v>0</v>
      </c>
      <c r="M36" s="162">
        <f t="shared" si="22"/>
        <v>0</v>
      </c>
      <c r="N36" s="162">
        <f t="shared" si="22"/>
        <v>0</v>
      </c>
      <c r="O36" s="162">
        <f t="shared" si="22"/>
        <v>0</v>
      </c>
      <c r="P36" s="162">
        <f t="shared" si="22"/>
        <v>0</v>
      </c>
      <c r="Q36" s="162">
        <f t="shared" si="22"/>
        <v>0</v>
      </c>
      <c r="R36" s="162">
        <f t="shared" si="22"/>
        <v>0</v>
      </c>
      <c r="S36" s="162">
        <f t="shared" si="22"/>
        <v>0</v>
      </c>
      <c r="T36" s="162">
        <f t="shared" si="22"/>
        <v>0</v>
      </c>
      <c r="U36" s="162">
        <f t="shared" si="22"/>
        <v>480.33000000000004</v>
      </c>
      <c r="V36" s="162">
        <f t="shared" si="22"/>
        <v>480.32500000000005</v>
      </c>
      <c r="W36" s="162">
        <f t="shared" si="22"/>
        <v>440.87</v>
      </c>
      <c r="X36" s="162">
        <f t="shared" si="22"/>
        <v>440.86700000000002</v>
      </c>
      <c r="Y36" s="162">
        <f t="shared" si="22"/>
        <v>517.89</v>
      </c>
      <c r="Z36" s="162">
        <f t="shared" si="22"/>
        <v>517.89</v>
      </c>
      <c r="AA36" s="162">
        <f t="shared" si="22"/>
        <v>2376.1999999999998</v>
      </c>
      <c r="AB36" s="162">
        <f t="shared" si="22"/>
        <v>2376.1999999999998</v>
      </c>
      <c r="AC36" s="162">
        <f t="shared" si="22"/>
        <v>498.71000000000004</v>
      </c>
      <c r="AD36" s="162">
        <f t="shared" si="22"/>
        <v>0</v>
      </c>
      <c r="AE36" s="162">
        <f t="shared" si="22"/>
        <v>0</v>
      </c>
      <c r="AF36" s="162">
        <f t="shared" si="22"/>
        <v>0</v>
      </c>
      <c r="AG36" s="162">
        <f t="shared" si="22"/>
        <v>0</v>
      </c>
      <c r="AH36" s="162">
        <f t="shared" si="22"/>
        <v>0</v>
      </c>
    </row>
    <row r="37" spans="1:35" ht="18" hidden="1" customHeight="1">
      <c r="A37" s="43"/>
      <c r="B37" s="266" t="s">
        <v>20</v>
      </c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91"/>
    </row>
    <row r="38" spans="1:35" ht="16.5" hidden="1" customHeight="1">
      <c r="A38" s="264" t="s">
        <v>21</v>
      </c>
      <c r="B38" s="316" t="s">
        <v>22</v>
      </c>
      <c r="C38" s="248" t="s">
        <v>16</v>
      </c>
      <c r="D38" s="38" t="s">
        <v>14</v>
      </c>
      <c r="E38" s="272"/>
      <c r="F38" s="27" t="e">
        <f>#REF!*8*2580*0.95</f>
        <v>#REF!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</row>
    <row r="39" spans="1:35" ht="15" hidden="1" customHeight="1">
      <c r="A39" s="264"/>
      <c r="B39" s="316"/>
      <c r="C39" s="248"/>
      <c r="D39" s="38" t="s">
        <v>15</v>
      </c>
      <c r="E39" s="272"/>
      <c r="F39" s="27" t="e">
        <f>#REF!*8*2580*0.05</f>
        <v>#REF!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</row>
    <row r="40" spans="1:35" ht="15.75" hidden="1" customHeight="1">
      <c r="A40" s="264" t="s">
        <v>23</v>
      </c>
      <c r="B40" s="291" t="s">
        <v>24</v>
      </c>
      <c r="C40" s="248" t="s">
        <v>16</v>
      </c>
      <c r="D40" s="38" t="s">
        <v>14</v>
      </c>
      <c r="E40" s="272"/>
      <c r="F40" s="27" t="e">
        <f>#REF!*14*2580*0.95</f>
        <v>#REF!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</row>
    <row r="41" spans="1:35" ht="13.5" hidden="1" customHeight="1">
      <c r="A41" s="264"/>
      <c r="B41" s="291"/>
      <c r="C41" s="248"/>
      <c r="D41" s="38" t="s">
        <v>15</v>
      </c>
      <c r="E41" s="272"/>
      <c r="F41" s="27" t="e">
        <f>#REF!*14*2580*0.05</f>
        <v>#REF!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</row>
    <row r="42" spans="1:35" ht="22.5" hidden="1" customHeight="1">
      <c r="A42" s="264" t="s">
        <v>25</v>
      </c>
      <c r="B42" s="271" t="s">
        <v>26</v>
      </c>
      <c r="C42" s="248" t="s">
        <v>16</v>
      </c>
      <c r="D42" s="38" t="s">
        <v>14</v>
      </c>
      <c r="E42" s="272"/>
      <c r="F42" s="27" t="e">
        <f>#REF!*14*2580*0.95</f>
        <v>#REF!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</row>
    <row r="43" spans="1:35" ht="13.5" hidden="1" customHeight="1">
      <c r="A43" s="264"/>
      <c r="B43" s="271"/>
      <c r="C43" s="248"/>
      <c r="D43" s="38" t="s">
        <v>15</v>
      </c>
      <c r="E43" s="272"/>
      <c r="F43" s="27" t="e">
        <f>#REF!*14*2580*0.05</f>
        <v>#REF!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</row>
    <row r="44" spans="1:35" ht="15" hidden="1" customHeight="1">
      <c r="A44" s="264" t="s">
        <v>23</v>
      </c>
      <c r="B44" s="271" t="s">
        <v>27</v>
      </c>
      <c r="C44" s="248" t="s">
        <v>16</v>
      </c>
      <c r="D44" s="38" t="s">
        <v>14</v>
      </c>
      <c r="E44" s="272"/>
      <c r="F44" s="27" t="e">
        <f>#REF!*13*2580*0.95</f>
        <v>#REF!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</row>
    <row r="45" spans="1:35" ht="19.5" hidden="1" customHeight="1">
      <c r="A45" s="264"/>
      <c r="B45" s="271"/>
      <c r="C45" s="248"/>
      <c r="D45" s="38" t="s">
        <v>15</v>
      </c>
      <c r="E45" s="272"/>
      <c r="F45" s="27" t="e">
        <f>#REF!*13*2580*0.05</f>
        <v>#REF!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</row>
    <row r="46" spans="1:35" ht="21" hidden="1" customHeight="1">
      <c r="A46" s="264" t="s">
        <v>28</v>
      </c>
      <c r="B46" s="271" t="s">
        <v>29</v>
      </c>
      <c r="C46" s="248" t="s">
        <v>16</v>
      </c>
      <c r="D46" s="38" t="s">
        <v>14</v>
      </c>
      <c r="E46" s="272"/>
      <c r="F46" s="27" t="e">
        <f>#REF!*4*2580*0.95</f>
        <v>#REF!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</row>
    <row r="47" spans="1:35" ht="17.25" hidden="1" customHeight="1">
      <c r="A47" s="264"/>
      <c r="B47" s="271"/>
      <c r="C47" s="248"/>
      <c r="D47" s="38" t="s">
        <v>15</v>
      </c>
      <c r="E47" s="272"/>
      <c r="F47" s="27" t="e">
        <f>#REF!*4*2580*0.05</f>
        <v>#REF!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</row>
    <row r="48" spans="1:35" ht="17.25" hidden="1" customHeight="1">
      <c r="A48" s="264" t="s">
        <v>30</v>
      </c>
      <c r="B48" s="289" t="s">
        <v>31</v>
      </c>
      <c r="C48" s="248" t="s">
        <v>16</v>
      </c>
      <c r="D48" s="38" t="s">
        <v>14</v>
      </c>
      <c r="E48" s="272"/>
      <c r="F48" s="27" t="e">
        <f>#REF!*6.56*2580*0.95</f>
        <v>#REF!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</row>
    <row r="49" spans="1:36" ht="16.5" hidden="1" customHeight="1">
      <c r="A49" s="264"/>
      <c r="B49" s="289"/>
      <c r="C49" s="248"/>
      <c r="D49" s="38" t="s">
        <v>15</v>
      </c>
      <c r="E49" s="272"/>
      <c r="F49" s="27" t="e">
        <f>#REF!*6.56*2580*0.05</f>
        <v>#REF!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</row>
    <row r="50" spans="1:36" ht="17.25" hidden="1" customHeight="1">
      <c r="A50" s="264" t="s">
        <v>32</v>
      </c>
      <c r="B50" s="289" t="s">
        <v>33</v>
      </c>
      <c r="C50" s="248" t="s">
        <v>16</v>
      </c>
      <c r="D50" s="38" t="s">
        <v>14</v>
      </c>
      <c r="E50" s="272"/>
      <c r="F50" s="27" t="e">
        <f>#REF!*7*2580*0.95</f>
        <v>#REF!</v>
      </c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</row>
    <row r="51" spans="1:36" ht="15.75" hidden="1" customHeight="1">
      <c r="A51" s="264"/>
      <c r="B51" s="289"/>
      <c r="C51" s="248"/>
      <c r="D51" s="38" t="s">
        <v>15</v>
      </c>
      <c r="E51" s="272"/>
      <c r="F51" s="27" t="e">
        <f>#REF!*7*2580*0.05</f>
        <v>#REF!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</row>
    <row r="52" spans="1:36" ht="16.5" hidden="1" customHeight="1">
      <c r="A52" s="264" t="s">
        <v>34</v>
      </c>
      <c r="B52" s="271" t="s">
        <v>35</v>
      </c>
      <c r="C52" s="248" t="s">
        <v>16</v>
      </c>
      <c r="D52" s="38" t="s">
        <v>14</v>
      </c>
      <c r="E52" s="272"/>
      <c r="F52" s="27" t="e">
        <f>#REF!*6.06*2580*0.95</f>
        <v>#REF!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</row>
    <row r="53" spans="1:36" ht="16.5" hidden="1" customHeight="1">
      <c r="A53" s="264"/>
      <c r="B53" s="271"/>
      <c r="C53" s="248"/>
      <c r="D53" s="38" t="s">
        <v>15</v>
      </c>
      <c r="E53" s="272"/>
      <c r="F53" s="27" t="e">
        <f>#REF!*6.06*2580*0.05</f>
        <v>#REF!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</row>
    <row r="54" spans="1:36" ht="16.5" hidden="1" customHeight="1">
      <c r="A54" s="39"/>
      <c r="B54" s="274" t="s">
        <v>36</v>
      </c>
      <c r="C54" s="43"/>
      <c r="D54" s="41" t="s">
        <v>89</v>
      </c>
      <c r="E54" s="29">
        <f t="shared" ref="E54:AG54" si="23">E55+E56</f>
        <v>1678.8973684210525</v>
      </c>
      <c r="F54" s="29">
        <f t="shared" si="23"/>
        <v>0</v>
      </c>
      <c r="G54" s="29">
        <f t="shared" si="23"/>
        <v>0</v>
      </c>
      <c r="H54" s="29">
        <f t="shared" si="23"/>
        <v>0</v>
      </c>
      <c r="I54" s="29">
        <f t="shared" si="23"/>
        <v>0</v>
      </c>
      <c r="J54" s="29"/>
      <c r="K54" s="29">
        <f t="shared" si="23"/>
        <v>0</v>
      </c>
      <c r="L54" s="29"/>
      <c r="M54" s="29">
        <f t="shared" si="23"/>
        <v>0</v>
      </c>
      <c r="N54" s="29"/>
      <c r="O54" s="29"/>
      <c r="P54" s="29"/>
      <c r="Q54" s="29">
        <f t="shared" si="23"/>
        <v>0</v>
      </c>
      <c r="R54" s="29"/>
      <c r="S54" s="29">
        <f t="shared" si="23"/>
        <v>0</v>
      </c>
      <c r="T54" s="29"/>
      <c r="U54" s="29">
        <f t="shared" si="23"/>
        <v>1678.8973684210525</v>
      </c>
      <c r="V54" s="29"/>
      <c r="W54" s="29">
        <f t="shared" si="23"/>
        <v>0</v>
      </c>
      <c r="X54" s="29"/>
      <c r="Y54" s="29">
        <f t="shared" si="23"/>
        <v>0</v>
      </c>
      <c r="Z54" s="29"/>
      <c r="AA54" s="29">
        <f t="shared" si="23"/>
        <v>0</v>
      </c>
      <c r="AB54" s="29"/>
      <c r="AC54" s="29">
        <f t="shared" si="23"/>
        <v>0</v>
      </c>
      <c r="AD54" s="29"/>
      <c r="AE54" s="29">
        <f t="shared" si="23"/>
        <v>0</v>
      </c>
      <c r="AF54" s="29"/>
      <c r="AG54" s="29">
        <f t="shared" si="23"/>
        <v>0</v>
      </c>
      <c r="AH54" s="29"/>
    </row>
    <row r="55" spans="1:36" ht="18" hidden="1" customHeight="1">
      <c r="A55" s="264" t="s">
        <v>21</v>
      </c>
      <c r="B55" s="274"/>
      <c r="C55" s="270" t="s">
        <v>16</v>
      </c>
      <c r="D55" s="40" t="s">
        <v>14</v>
      </c>
      <c r="E55" s="30">
        <f>I55+K55+M55+Q55+S55+U55+W55+Y55+AA55+AC55+AE55+AG55</f>
        <v>1595</v>
      </c>
      <c r="F55" s="46">
        <v>0</v>
      </c>
      <c r="G55" s="46">
        <v>0</v>
      </c>
      <c r="H55" s="46">
        <v>0</v>
      </c>
      <c r="I55" s="46">
        <v>0</v>
      </c>
      <c r="J55" s="46"/>
      <c r="K55" s="46">
        <v>0</v>
      </c>
      <c r="L55" s="46"/>
      <c r="M55" s="46">
        <v>0</v>
      </c>
      <c r="N55" s="46"/>
      <c r="O55" s="46"/>
      <c r="P55" s="46"/>
      <c r="Q55" s="46">
        <v>0</v>
      </c>
      <c r="R55" s="46"/>
      <c r="S55" s="46">
        <v>0</v>
      </c>
      <c r="T55" s="46"/>
      <c r="U55" s="31">
        <v>1595</v>
      </c>
      <c r="V55" s="31"/>
      <c r="W55" s="46">
        <v>0</v>
      </c>
      <c r="X55" s="46"/>
      <c r="Y55" s="46">
        <v>0</v>
      </c>
      <c r="Z55" s="46"/>
      <c r="AA55" s="46">
        <v>0</v>
      </c>
      <c r="AB55" s="46"/>
      <c r="AC55" s="46">
        <v>0</v>
      </c>
      <c r="AD55" s="46"/>
      <c r="AE55" s="46">
        <v>0</v>
      </c>
      <c r="AF55" s="46"/>
      <c r="AG55" s="46">
        <v>0</v>
      </c>
      <c r="AH55" s="46"/>
    </row>
    <row r="56" spans="1:36" ht="18.75" hidden="1" customHeight="1">
      <c r="A56" s="264"/>
      <c r="B56" s="274"/>
      <c r="C56" s="270"/>
      <c r="D56" s="40" t="s">
        <v>15</v>
      </c>
      <c r="E56" s="30">
        <f>I56+K56+M56+Q56+S56+U56+W56+Y56+AA56+AC56+AE56+AG56</f>
        <v>83.897368421052633</v>
      </c>
      <c r="F56" s="46">
        <v>0</v>
      </c>
      <c r="G56" s="46">
        <v>0</v>
      </c>
      <c r="H56" s="46">
        <v>0</v>
      </c>
      <c r="I56" s="46">
        <v>0</v>
      </c>
      <c r="J56" s="46"/>
      <c r="K56" s="46">
        <v>0</v>
      </c>
      <c r="L56" s="46"/>
      <c r="M56" s="46">
        <v>0</v>
      </c>
      <c r="N56" s="46"/>
      <c r="O56" s="46"/>
      <c r="P56" s="46"/>
      <c r="Q56" s="46">
        <v>0</v>
      </c>
      <c r="R56" s="46"/>
      <c r="S56" s="46">
        <v>0</v>
      </c>
      <c r="T56" s="46"/>
      <c r="U56" s="32">
        <f>U55/95*5-0.05</f>
        <v>83.897368421052633</v>
      </c>
      <c r="V56" s="32"/>
      <c r="W56" s="46">
        <v>0</v>
      </c>
      <c r="X56" s="46"/>
      <c r="Y56" s="46">
        <v>0</v>
      </c>
      <c r="Z56" s="46"/>
      <c r="AA56" s="46">
        <v>0</v>
      </c>
      <c r="AB56" s="46"/>
      <c r="AC56" s="46">
        <v>0</v>
      </c>
      <c r="AD56" s="46"/>
      <c r="AE56" s="46">
        <v>0</v>
      </c>
      <c r="AF56" s="46"/>
      <c r="AG56" s="46">
        <v>0</v>
      </c>
      <c r="AH56" s="46"/>
    </row>
    <row r="57" spans="1:36" ht="8.25" hidden="1" customHeight="1">
      <c r="A57" s="283" t="s">
        <v>37</v>
      </c>
      <c r="B57" s="275" t="s">
        <v>78</v>
      </c>
      <c r="C57" s="268" t="s">
        <v>16</v>
      </c>
      <c r="D57" s="40" t="s">
        <v>14</v>
      </c>
      <c r="E57" s="175">
        <f>I57+K57+M57+Q57+S57+U57+W57+Y57+AA57+AC57+AE57+AG57</f>
        <v>0</v>
      </c>
      <c r="F57" s="176">
        <v>0</v>
      </c>
      <c r="G57" s="176">
        <v>0</v>
      </c>
      <c r="H57" s="46">
        <v>0</v>
      </c>
      <c r="I57" s="176">
        <v>0</v>
      </c>
      <c r="J57" s="176"/>
      <c r="K57" s="176">
        <v>0</v>
      </c>
      <c r="L57" s="176"/>
      <c r="M57" s="176">
        <v>0</v>
      </c>
      <c r="N57" s="176"/>
      <c r="O57" s="176"/>
      <c r="P57" s="176"/>
      <c r="Q57" s="176">
        <v>0</v>
      </c>
      <c r="R57" s="176"/>
      <c r="S57" s="176">
        <v>0</v>
      </c>
      <c r="T57" s="176"/>
      <c r="U57" s="185"/>
      <c r="V57" s="185"/>
      <c r="W57" s="176">
        <v>0</v>
      </c>
      <c r="X57" s="176"/>
      <c r="Y57" s="176">
        <v>0</v>
      </c>
      <c r="Z57" s="176"/>
      <c r="AA57" s="186"/>
      <c r="AB57" s="186"/>
      <c r="AC57" s="176">
        <v>0</v>
      </c>
      <c r="AD57" s="176"/>
      <c r="AE57" s="176">
        <v>0</v>
      </c>
      <c r="AF57" s="176"/>
      <c r="AG57" s="176">
        <v>0</v>
      </c>
      <c r="AH57" s="176"/>
      <c r="AI57" s="191">
        <f t="shared" ref="AI57:AI85" si="24">AA57+Y57+W57+U57+O57+Q57+S57+AC57+AE57+AG57</f>
        <v>0</v>
      </c>
      <c r="AJ57" s="192"/>
    </row>
    <row r="58" spans="1:36" ht="13.5" hidden="1" customHeight="1">
      <c r="A58" s="285"/>
      <c r="B58" s="276"/>
      <c r="C58" s="269"/>
      <c r="D58" s="40" t="s">
        <v>15</v>
      </c>
      <c r="E58" s="175">
        <f>I58+K58+M58+Q58+S58+U58+W58+Y58+AA58+AC58+AE58+AG58</f>
        <v>0</v>
      </c>
      <c r="F58" s="176">
        <v>0</v>
      </c>
      <c r="G58" s="176">
        <v>0</v>
      </c>
      <c r="H58" s="46">
        <v>0</v>
      </c>
      <c r="I58" s="176">
        <v>0</v>
      </c>
      <c r="J58" s="176"/>
      <c r="K58" s="176">
        <v>0</v>
      </c>
      <c r="L58" s="176"/>
      <c r="M58" s="176">
        <v>0</v>
      </c>
      <c r="N58" s="176"/>
      <c r="O58" s="176"/>
      <c r="P58" s="176"/>
      <c r="Q58" s="176">
        <v>0</v>
      </c>
      <c r="R58" s="176"/>
      <c r="S58" s="176">
        <v>0</v>
      </c>
      <c r="T58" s="176"/>
      <c r="U58" s="187"/>
      <c r="V58" s="187"/>
      <c r="W58" s="176">
        <v>0</v>
      </c>
      <c r="X58" s="176"/>
      <c r="Y58" s="176">
        <v>0</v>
      </c>
      <c r="Z58" s="176"/>
      <c r="AA58" s="188"/>
      <c r="AB58" s="188"/>
      <c r="AC58" s="176">
        <v>0</v>
      </c>
      <c r="AD58" s="176"/>
      <c r="AE58" s="176">
        <v>0</v>
      </c>
      <c r="AF58" s="176"/>
      <c r="AG58" s="176">
        <v>0</v>
      </c>
      <c r="AH58" s="176"/>
      <c r="AI58" s="191">
        <f t="shared" si="24"/>
        <v>0</v>
      </c>
      <c r="AJ58" s="192"/>
    </row>
    <row r="59" spans="1:36" ht="23.25" customHeight="1">
      <c r="A59" s="264" t="s">
        <v>151</v>
      </c>
      <c r="B59" s="273" t="s">
        <v>79</v>
      </c>
      <c r="C59" s="270" t="s">
        <v>16</v>
      </c>
      <c r="D59" s="41" t="s">
        <v>89</v>
      </c>
      <c r="E59" s="171">
        <f>E60+E61</f>
        <v>1025.3</v>
      </c>
      <c r="F59" s="159">
        <f>I59+K59+M59+Q59+S59+U59+W59+Y59+AA59+AC59+AE59+AG59</f>
        <v>1025.3</v>
      </c>
      <c r="G59" s="171">
        <f t="shared" ref="G59:AG59" si="25">G60+G61</f>
        <v>301.58600000000001</v>
      </c>
      <c r="H59" s="36" t="e">
        <f t="shared" si="25"/>
        <v>#DIV/0!</v>
      </c>
      <c r="I59" s="171">
        <f t="shared" si="25"/>
        <v>0</v>
      </c>
      <c r="J59" s="171">
        <f t="shared" si="25"/>
        <v>0</v>
      </c>
      <c r="K59" s="171">
        <f t="shared" si="25"/>
        <v>0</v>
      </c>
      <c r="L59" s="171">
        <f>L60+L61</f>
        <v>0</v>
      </c>
      <c r="M59" s="171">
        <f t="shared" si="25"/>
        <v>302</v>
      </c>
      <c r="N59" s="171">
        <f t="shared" si="25"/>
        <v>301.58600000000001</v>
      </c>
      <c r="O59" s="159">
        <f>I59+K59+M59</f>
        <v>302</v>
      </c>
      <c r="P59" s="159">
        <f>J59+L59+N59</f>
        <v>301.58600000000001</v>
      </c>
      <c r="Q59" s="171">
        <f t="shared" si="25"/>
        <v>0</v>
      </c>
      <c r="R59" s="159">
        <f>R60+R61</f>
        <v>0</v>
      </c>
      <c r="S59" s="171">
        <f t="shared" si="25"/>
        <v>0</v>
      </c>
      <c r="T59" s="171">
        <f t="shared" si="25"/>
        <v>0</v>
      </c>
      <c r="U59" s="171">
        <f t="shared" si="25"/>
        <v>723.3</v>
      </c>
      <c r="V59" s="171">
        <f t="shared" si="25"/>
        <v>0</v>
      </c>
      <c r="W59" s="171">
        <f t="shared" si="25"/>
        <v>0</v>
      </c>
      <c r="X59" s="171">
        <f t="shared" si="25"/>
        <v>0</v>
      </c>
      <c r="Y59" s="171">
        <f t="shared" si="25"/>
        <v>0</v>
      </c>
      <c r="Z59" s="171">
        <f t="shared" si="25"/>
        <v>0</v>
      </c>
      <c r="AA59" s="171">
        <f t="shared" si="25"/>
        <v>0</v>
      </c>
      <c r="AB59" s="171">
        <f t="shared" si="25"/>
        <v>0</v>
      </c>
      <c r="AC59" s="171">
        <f t="shared" si="25"/>
        <v>0</v>
      </c>
      <c r="AD59" s="171">
        <f t="shared" si="25"/>
        <v>0</v>
      </c>
      <c r="AE59" s="171">
        <f t="shared" si="25"/>
        <v>0</v>
      </c>
      <c r="AF59" s="171">
        <f t="shared" si="25"/>
        <v>0</v>
      </c>
      <c r="AG59" s="171">
        <f t="shared" si="25"/>
        <v>0</v>
      </c>
      <c r="AH59" s="171">
        <f>AH60+AH61</f>
        <v>0</v>
      </c>
      <c r="AI59" s="191">
        <f t="shared" si="24"/>
        <v>1025.3</v>
      </c>
      <c r="AJ59" s="192"/>
    </row>
    <row r="60" spans="1:36" ht="21" customHeight="1">
      <c r="A60" s="264"/>
      <c r="B60" s="273"/>
      <c r="C60" s="270"/>
      <c r="D60" s="40" t="s">
        <v>88</v>
      </c>
      <c r="E60" s="172">
        <f>I60+K60+M60+Q60+S60+U60+W60+Y60+AA60+AC60+AE60+AG60</f>
        <v>0</v>
      </c>
      <c r="F60" s="161">
        <f>I60+K60+M60+Q60+S60+U60+W60+Y60+AA60+AC60+AE60+AG60</f>
        <v>0</v>
      </c>
      <c r="G60" s="173">
        <f>P60+R60+T60+V60+X60+Z60+AB60+AD60+AF60+AH60</f>
        <v>0</v>
      </c>
      <c r="H60" s="35" t="e">
        <f>G60/E60*100</f>
        <v>#DIV/0!</v>
      </c>
      <c r="I60" s="177"/>
      <c r="J60" s="177"/>
      <c r="K60" s="177"/>
      <c r="L60" s="177"/>
      <c r="M60" s="177"/>
      <c r="N60" s="177"/>
      <c r="O60" s="183"/>
      <c r="P60" s="183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>
        <v>0</v>
      </c>
      <c r="AF60" s="177">
        <v>0</v>
      </c>
      <c r="AG60" s="177">
        <v>0</v>
      </c>
      <c r="AH60" s="177">
        <v>0</v>
      </c>
      <c r="AI60" s="191">
        <f t="shared" si="24"/>
        <v>0</v>
      </c>
      <c r="AJ60" s="192"/>
    </row>
    <row r="61" spans="1:36" ht="21.75" customHeight="1">
      <c r="A61" s="264"/>
      <c r="B61" s="273"/>
      <c r="C61" s="270"/>
      <c r="D61" s="40" t="s">
        <v>15</v>
      </c>
      <c r="E61" s="100">
        <f>I61+K61+M61+Q61+S61+U61+W61+Y61+AA61+AC61+AE61+AG61</f>
        <v>1025.3</v>
      </c>
      <c r="F61" s="162">
        <f>I61+K61+M61+Q61+S61+U61+W61+Y61+AA61+AC61+AE61+AG61</f>
        <v>1025.3</v>
      </c>
      <c r="G61" s="233">
        <f>J61+L61+N61+R61+T61+V61+X61+Z61+AB61+AD61+AF61+AH61</f>
        <v>301.58600000000001</v>
      </c>
      <c r="H61" s="48">
        <f>G61/E61*100</f>
        <v>29.414415293084957</v>
      </c>
      <c r="I61" s="174">
        <v>0</v>
      </c>
      <c r="J61" s="174">
        <v>0</v>
      </c>
      <c r="K61" s="174">
        <v>0</v>
      </c>
      <c r="L61" s="174">
        <v>0</v>
      </c>
      <c r="M61" s="174">
        <v>302</v>
      </c>
      <c r="N61" s="174">
        <v>301.58600000000001</v>
      </c>
      <c r="O61" s="184"/>
      <c r="P61" s="184"/>
      <c r="Q61" s="174"/>
      <c r="R61" s="179"/>
      <c r="S61" s="174"/>
      <c r="T61" s="174"/>
      <c r="U61" s="238">
        <v>723.3</v>
      </c>
      <c r="V61" s="189"/>
      <c r="W61" s="174"/>
      <c r="X61" s="174"/>
      <c r="Y61" s="174"/>
      <c r="Z61" s="174"/>
      <c r="AA61" s="189"/>
      <c r="AB61" s="189"/>
      <c r="AC61" s="179"/>
      <c r="AD61" s="174"/>
      <c r="AE61" s="174">
        <v>0</v>
      </c>
      <c r="AF61" s="174">
        <v>0</v>
      </c>
      <c r="AG61" s="174">
        <v>0</v>
      </c>
      <c r="AH61" s="174">
        <v>0</v>
      </c>
      <c r="AI61" s="191">
        <f t="shared" si="24"/>
        <v>723.3</v>
      </c>
      <c r="AJ61" s="192"/>
    </row>
    <row r="62" spans="1:36" ht="18.75" hidden="1" customHeight="1">
      <c r="A62" s="92"/>
      <c r="B62" s="93" t="s">
        <v>38</v>
      </c>
      <c r="C62" s="94"/>
      <c r="D62" s="95"/>
      <c r="E62" s="96" t="e">
        <f>#REF!+F62+G62+H62+Y62+AE62+AG62</f>
        <v>#REF!</v>
      </c>
      <c r="F62" s="96" t="e">
        <f>F64+F65</f>
        <v>#REF!</v>
      </c>
      <c r="G62" s="96" t="e">
        <f>G64+G65</f>
        <v>#REF!</v>
      </c>
      <c r="H62" s="96" t="e">
        <f>H64+H65</f>
        <v>#REF!</v>
      </c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 t="e">
        <f>Y64+Y65</f>
        <v>#REF!</v>
      </c>
      <c r="Z62" s="96"/>
      <c r="AA62" s="96"/>
      <c r="AB62" s="96"/>
      <c r="AC62" s="96"/>
      <c r="AD62" s="96"/>
      <c r="AE62" s="96" t="e">
        <f>AE64+AE65</f>
        <v>#REF!</v>
      </c>
      <c r="AF62" s="96"/>
      <c r="AG62" s="96" t="e">
        <f>AG64+AG65</f>
        <v>#REF!</v>
      </c>
      <c r="AH62" s="96"/>
      <c r="AI62" s="191" t="e">
        <f t="shared" si="24"/>
        <v>#REF!</v>
      </c>
      <c r="AJ62" s="192"/>
    </row>
    <row r="63" spans="1:36" ht="15.75" hidden="1" customHeight="1">
      <c r="A63" s="43"/>
      <c r="B63" s="17" t="s">
        <v>17</v>
      </c>
      <c r="C63" s="97"/>
      <c r="D63" s="38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91">
        <f t="shared" si="24"/>
        <v>0</v>
      </c>
      <c r="AJ63" s="192"/>
    </row>
    <row r="64" spans="1:36" ht="15.75" hidden="1" customHeight="1">
      <c r="A64" s="43"/>
      <c r="B64" s="17" t="s">
        <v>18</v>
      </c>
      <c r="C64" s="97"/>
      <c r="D64" s="38"/>
      <c r="E64" s="66" t="e">
        <f>#REF!+F64+G64+H64+Y64+AE64+AG64</f>
        <v>#REF!</v>
      </c>
      <c r="F64" s="18" t="e">
        <f>F55+#REF!+#REF!+#REF!+#REF!+#REF!+#REF!+#REF!+#REF!+F57+S60</f>
        <v>#REF!</v>
      </c>
      <c r="G64" s="18" t="e">
        <f>G55+#REF!+#REF!+#REF!+#REF!+#REF!+#REF!+#REF!+#REF!+G57+G60</f>
        <v>#REF!</v>
      </c>
      <c r="H64" s="18" t="e">
        <f>H55+#REF!+#REF!+#REF!+#REF!+#REF!+#REF!+#REF!+#REF!+H57+H60</f>
        <v>#REF!</v>
      </c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 t="e">
        <f>Y55+#REF!+#REF!+#REF!+#REF!+#REF!+#REF!+#REF!+#REF!+Y57+#REF!</f>
        <v>#REF!</v>
      </c>
      <c r="Z64" s="18"/>
      <c r="AA64" s="18"/>
      <c r="AB64" s="18"/>
      <c r="AC64" s="18"/>
      <c r="AD64" s="18"/>
      <c r="AE64" s="18" t="e">
        <f>AE55+#REF!+#REF!+#REF!+#REF!+#REF!+#REF!+#REF!+#REF!+AE57+AE60</f>
        <v>#REF!</v>
      </c>
      <c r="AF64" s="18"/>
      <c r="AG64" s="18" t="e">
        <f>AG55+#REF!+#REF!+#REF!+#REF!+#REF!+#REF!+#REF!+#REF!+AG57+AG60</f>
        <v>#REF!</v>
      </c>
      <c r="AH64" s="18"/>
      <c r="AI64" s="191" t="e">
        <f t="shared" si="24"/>
        <v>#REF!</v>
      </c>
      <c r="AJ64" s="192"/>
    </row>
    <row r="65" spans="1:36" ht="16.5" hidden="1" customHeight="1" thickBot="1">
      <c r="A65" s="43"/>
      <c r="B65" s="17" t="s">
        <v>19</v>
      </c>
      <c r="C65" s="97"/>
      <c r="D65" s="38"/>
      <c r="E65" s="66" t="e">
        <f>#REF!+F65+G65+H65+Y65+AE65+AG65-0.01</f>
        <v>#REF!</v>
      </c>
      <c r="F65" s="66" t="e">
        <f>F56+#REF!+#REF!+#REF!+#REF!+#REF!+#REF!+#REF!+#REF!+F58+S61</f>
        <v>#REF!</v>
      </c>
      <c r="G65" s="66" t="e">
        <f>G56+#REF!+#REF!+#REF!+#REF!+#REF!+#REF!+#REF!+#REF!+G58+G61</f>
        <v>#REF!</v>
      </c>
      <c r="H65" s="66" t="e">
        <f>H56+#REF!+#REF!+#REF!+#REF!+#REF!+#REF!+#REF!+#REF!+H58+H61</f>
        <v>#REF!</v>
      </c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 t="e">
        <f>Y56+#REF!+#REF!+#REF!+#REF!+#REF!+#REF!+#REF!+#REF!+Y58+#REF!</f>
        <v>#REF!</v>
      </c>
      <c r="Z65" s="66"/>
      <c r="AA65" s="66"/>
      <c r="AB65" s="66"/>
      <c r="AC65" s="66"/>
      <c r="AD65" s="66"/>
      <c r="AE65" s="66" t="e">
        <f>AE56+#REF!+#REF!+#REF!+#REF!+#REF!+#REF!+#REF!+#REF!+AE58+AE61-0.01</f>
        <v>#REF!</v>
      </c>
      <c r="AF65" s="66"/>
      <c r="AG65" s="66" t="e">
        <f>AG56+#REF!+#REF!+#REF!+#REF!+#REF!+#REF!+#REF!+#REF!+AG58+AG61</f>
        <v>#REF!</v>
      </c>
      <c r="AH65" s="66"/>
      <c r="AI65" s="191" t="e">
        <f t="shared" si="24"/>
        <v>#REF!</v>
      </c>
      <c r="AJ65" s="192"/>
    </row>
    <row r="66" spans="1:36" ht="19.5" hidden="1" customHeight="1">
      <c r="A66" s="43"/>
      <c r="B66" s="60" t="s">
        <v>39</v>
      </c>
      <c r="C66" s="13"/>
      <c r="D66" s="13"/>
      <c r="E66" s="98" t="e">
        <f>#REF!+F66+G66+H66+Y66+AE66+AG66</f>
        <v>#REF!</v>
      </c>
      <c r="F66" s="98" t="e">
        <f>#REF!+F62</f>
        <v>#REF!</v>
      </c>
      <c r="G66" s="98" t="e">
        <f>#REF!+G62</f>
        <v>#REF!</v>
      </c>
      <c r="H66" s="98" t="e">
        <f>#REF!+H62</f>
        <v>#REF!</v>
      </c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 t="e">
        <f>#REF!+Y62</f>
        <v>#REF!</v>
      </c>
      <c r="Z66" s="98"/>
      <c r="AA66" s="98"/>
      <c r="AB66" s="98"/>
      <c r="AC66" s="98"/>
      <c r="AD66" s="98"/>
      <c r="AE66" s="98" t="e">
        <f>#REF!+AE62</f>
        <v>#REF!</v>
      </c>
      <c r="AF66" s="98"/>
      <c r="AG66" s="98" t="e">
        <f>#REF!+AG62</f>
        <v>#REF!</v>
      </c>
      <c r="AH66" s="98"/>
      <c r="AI66" s="191" t="e">
        <f t="shared" si="24"/>
        <v>#REF!</v>
      </c>
      <c r="AJ66" s="192"/>
    </row>
    <row r="67" spans="1:36" ht="15.75" hidden="1" customHeight="1">
      <c r="A67" s="43"/>
      <c r="B67" s="17" t="s">
        <v>17</v>
      </c>
      <c r="C67" s="43"/>
      <c r="D67" s="43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91">
        <f t="shared" si="24"/>
        <v>0</v>
      </c>
      <c r="AJ67" s="192"/>
    </row>
    <row r="68" spans="1:36" ht="18" hidden="1" customHeight="1">
      <c r="A68" s="43"/>
      <c r="B68" s="17" t="s">
        <v>18</v>
      </c>
      <c r="C68" s="43"/>
      <c r="D68" s="43"/>
      <c r="E68" s="99" t="e">
        <f>#REF!+F68+G68+H68+Y68+AE68+AG68</f>
        <v>#REF!</v>
      </c>
      <c r="F68" s="99" t="e">
        <f t="shared" ref="F68:H69" si="26">F154+F64</f>
        <v>#REF!</v>
      </c>
      <c r="G68" s="99" t="e">
        <f t="shared" si="26"/>
        <v>#REF!</v>
      </c>
      <c r="H68" s="99" t="e">
        <f t="shared" si="26"/>
        <v>#REF!</v>
      </c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 t="e">
        <f>Y154+Y64</f>
        <v>#REF!</v>
      </c>
      <c r="Z68" s="99"/>
      <c r="AA68" s="99"/>
      <c r="AB68" s="99"/>
      <c r="AC68" s="99"/>
      <c r="AD68" s="99"/>
      <c r="AE68" s="99" t="e">
        <f>AE154+AE64</f>
        <v>#REF!</v>
      </c>
      <c r="AF68" s="99"/>
      <c r="AG68" s="99" t="e">
        <f>AG154+AG64</f>
        <v>#REF!</v>
      </c>
      <c r="AH68" s="99"/>
      <c r="AI68" s="191" t="e">
        <f t="shared" si="24"/>
        <v>#REF!</v>
      </c>
      <c r="AJ68" s="192"/>
    </row>
    <row r="69" spans="1:36" ht="18" hidden="1" customHeight="1" thickBot="1">
      <c r="A69" s="43"/>
      <c r="B69" s="17" t="s">
        <v>77</v>
      </c>
      <c r="C69" s="43"/>
      <c r="D69" s="43"/>
      <c r="E69" s="100" t="e">
        <f>#REF!+F69+G69+H69+Y69+AE69+AG69</f>
        <v>#REF!</v>
      </c>
      <c r="F69" s="100" t="e">
        <f t="shared" si="26"/>
        <v>#REF!</v>
      </c>
      <c r="G69" s="100" t="e">
        <f t="shared" si="26"/>
        <v>#REF!</v>
      </c>
      <c r="H69" s="100" t="e">
        <f t="shared" si="26"/>
        <v>#REF!</v>
      </c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 t="e">
        <f>Y155+Y65</f>
        <v>#REF!</v>
      </c>
      <c r="Z69" s="100"/>
      <c r="AA69" s="100"/>
      <c r="AB69" s="100"/>
      <c r="AC69" s="100"/>
      <c r="AD69" s="100"/>
      <c r="AE69" s="100" t="e">
        <f>AE155+AE65</f>
        <v>#REF!</v>
      </c>
      <c r="AF69" s="100"/>
      <c r="AG69" s="100" t="e">
        <f>AG155+AG65</f>
        <v>#REF!</v>
      </c>
      <c r="AH69" s="100"/>
      <c r="AI69" s="191" t="e">
        <f t="shared" si="24"/>
        <v>#REF!</v>
      </c>
      <c r="AJ69" s="192"/>
    </row>
    <row r="70" spans="1:36" s="2" customFormat="1" ht="29.25" hidden="1" customHeight="1">
      <c r="A70" s="50"/>
      <c r="B70" s="279" t="s">
        <v>72</v>
      </c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279"/>
      <c r="AD70" s="279"/>
      <c r="AE70" s="279"/>
      <c r="AF70" s="279"/>
      <c r="AG70" s="279"/>
      <c r="AH70" s="101"/>
      <c r="AI70" s="191">
        <f t="shared" si="24"/>
        <v>0</v>
      </c>
      <c r="AJ70" s="194"/>
    </row>
    <row r="71" spans="1:36" ht="36" hidden="1" customHeight="1">
      <c r="A71" s="51" t="s">
        <v>21</v>
      </c>
      <c r="B71" s="52" t="s">
        <v>81</v>
      </c>
      <c r="C71" s="38" t="s">
        <v>16</v>
      </c>
      <c r="D71" s="10" t="s">
        <v>15</v>
      </c>
      <c r="E71" s="22" t="e">
        <f>#REF!+F71+G71+H71+Y71+AE71+AG71</f>
        <v>#REF!</v>
      </c>
      <c r="F71" s="102">
        <v>12142</v>
      </c>
      <c r="G71" s="22">
        <v>12749</v>
      </c>
      <c r="H71" s="22">
        <f>G71/F71*G71+0.05</f>
        <v>13386.395000823586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>
        <f>H71/G71*H71+0.04</f>
        <v>14055.697001966799</v>
      </c>
      <c r="Z71" s="22"/>
      <c r="AA71" s="22"/>
      <c r="AB71" s="22"/>
      <c r="AC71" s="22"/>
      <c r="AD71" s="22"/>
      <c r="AE71" s="22">
        <f>Y71/H71*Y71+0.04</f>
        <v>14758.503215745806</v>
      </c>
      <c r="AF71" s="22"/>
      <c r="AG71" s="22">
        <f>AE71/Y71*AE71+0.05</f>
        <v>15496.500808430268</v>
      </c>
      <c r="AH71" s="22"/>
      <c r="AI71" s="191">
        <f t="shared" si="24"/>
        <v>44310.701026142873</v>
      </c>
      <c r="AJ71" s="192"/>
    </row>
    <row r="72" spans="1:36" ht="30" hidden="1" customHeight="1">
      <c r="A72" s="51" t="s">
        <v>25</v>
      </c>
      <c r="B72" s="52" t="s">
        <v>82</v>
      </c>
      <c r="C72" s="38" t="s">
        <v>16</v>
      </c>
      <c r="D72" s="293" t="s">
        <v>15</v>
      </c>
      <c r="E72" s="22" t="e">
        <f>#REF!+F72+G72+H72+Y72+AE72+AG72+0.01</f>
        <v>#REF!</v>
      </c>
      <c r="F72" s="102">
        <v>56233.599999999999</v>
      </c>
      <c r="G72" s="22">
        <v>59045</v>
      </c>
      <c r="H72" s="22">
        <f>G72/F72*G72+0.04</f>
        <v>61996.996001394189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>
        <f>H72/G72*H72+0.02</f>
        <v>65096.599104020439</v>
      </c>
      <c r="Z72" s="22"/>
      <c r="AA72" s="22"/>
      <c r="AB72" s="22"/>
      <c r="AC72" s="22"/>
      <c r="AD72" s="22"/>
      <c r="AE72" s="22">
        <f>Y72/H72*Y72+0.03</f>
        <v>68351.200027887491</v>
      </c>
      <c r="AF72" s="22"/>
      <c r="AG72" s="22">
        <f>AE72/Y72*AE72-0.02</f>
        <v>71768.499547186992</v>
      </c>
      <c r="AH72" s="22"/>
      <c r="AI72" s="191">
        <f t="shared" si="24"/>
        <v>205216.29867909494</v>
      </c>
      <c r="AJ72" s="192"/>
    </row>
    <row r="73" spans="1:36" ht="21.75" hidden="1" customHeight="1">
      <c r="A73" s="88"/>
      <c r="B73" s="42"/>
      <c r="C73" s="43"/>
      <c r="D73" s="293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1">
        <f t="shared" si="24"/>
        <v>0</v>
      </c>
      <c r="AJ73" s="192"/>
    </row>
    <row r="74" spans="1:36" ht="21.75" hidden="1" customHeight="1" thickBot="1">
      <c r="A74" s="88"/>
      <c r="B74" s="42"/>
      <c r="C74" s="43"/>
      <c r="D74" s="11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1">
        <f t="shared" si="24"/>
        <v>0</v>
      </c>
      <c r="AJ74" s="192"/>
    </row>
    <row r="75" spans="1:36" ht="21.6" hidden="1" customHeight="1">
      <c r="A75" s="43"/>
      <c r="B75" s="12" t="s">
        <v>40</v>
      </c>
      <c r="C75" s="13"/>
      <c r="D75" s="13"/>
      <c r="E75" s="20" t="e">
        <f>E77</f>
        <v>#REF!</v>
      </c>
      <c r="F75" s="20">
        <f>F77</f>
        <v>68375.600000000006</v>
      </c>
      <c r="G75" s="20">
        <f>G77</f>
        <v>71794</v>
      </c>
      <c r="H75" s="20">
        <f>H77</f>
        <v>75383.391002217773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>
        <f>Y77</f>
        <v>79152.296105987232</v>
      </c>
      <c r="Z75" s="20"/>
      <c r="AA75" s="20"/>
      <c r="AB75" s="20"/>
      <c r="AC75" s="20"/>
      <c r="AD75" s="20"/>
      <c r="AE75" s="20">
        <f>AE77</f>
        <v>83109.703243633296</v>
      </c>
      <c r="AF75" s="20"/>
      <c r="AG75" s="20">
        <f>AG77</f>
        <v>87265.00035561726</v>
      </c>
      <c r="AH75" s="20"/>
      <c r="AI75" s="191">
        <f t="shared" si="24"/>
        <v>249526.9997052378</v>
      </c>
      <c r="AJ75" s="192"/>
    </row>
    <row r="76" spans="1:36" ht="15.75" hidden="1" customHeight="1">
      <c r="A76" s="43"/>
      <c r="B76" s="14" t="s">
        <v>17</v>
      </c>
      <c r="C76" s="43"/>
      <c r="D76" s="43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191">
        <f t="shared" si="24"/>
        <v>0</v>
      </c>
      <c r="AJ76" s="192"/>
    </row>
    <row r="77" spans="1:36" ht="14.25" hidden="1" customHeight="1" thickBot="1">
      <c r="A77" s="43"/>
      <c r="B77" s="17" t="s">
        <v>77</v>
      </c>
      <c r="C77" s="43"/>
      <c r="D77" s="43"/>
      <c r="E77" s="100" t="e">
        <f>E72+E71</f>
        <v>#REF!</v>
      </c>
      <c r="F77" s="100">
        <f>F72+F71</f>
        <v>68375.600000000006</v>
      </c>
      <c r="G77" s="100">
        <f>G72+G71</f>
        <v>71794</v>
      </c>
      <c r="H77" s="100">
        <f>H72+H71</f>
        <v>75383.391002217773</v>
      </c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>
        <f>Y72+Y71</f>
        <v>79152.296105987232</v>
      </c>
      <c r="Z77" s="100"/>
      <c r="AA77" s="100"/>
      <c r="AB77" s="100"/>
      <c r="AC77" s="100"/>
      <c r="AD77" s="100"/>
      <c r="AE77" s="100">
        <f>AE72+AE71</f>
        <v>83109.703243633296</v>
      </c>
      <c r="AF77" s="100"/>
      <c r="AG77" s="100">
        <f>AG72+AG71</f>
        <v>87265.00035561726</v>
      </c>
      <c r="AH77" s="100"/>
      <c r="AI77" s="191">
        <f t="shared" si="24"/>
        <v>249526.9997052378</v>
      </c>
      <c r="AJ77" s="192"/>
    </row>
    <row r="78" spans="1:36" ht="17.25" hidden="1" customHeight="1">
      <c r="A78" s="54"/>
      <c r="B78" s="55" t="s">
        <v>41</v>
      </c>
      <c r="C78" s="103"/>
      <c r="D78" s="104"/>
      <c r="E78" s="56" t="e">
        <f>E72+E71+E66</f>
        <v>#REF!</v>
      </c>
      <c r="F78" s="56" t="e">
        <f>F72+F71+F66</f>
        <v>#REF!</v>
      </c>
      <c r="G78" s="56" t="e">
        <f>G72+G71+G66</f>
        <v>#REF!</v>
      </c>
      <c r="H78" s="56" t="e">
        <f>H72+H71+H66</f>
        <v>#REF!</v>
      </c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 t="e">
        <f>Y72+Y71+Y66</f>
        <v>#REF!</v>
      </c>
      <c r="Z78" s="56"/>
      <c r="AA78" s="56"/>
      <c r="AB78" s="56"/>
      <c r="AC78" s="56"/>
      <c r="AD78" s="56"/>
      <c r="AE78" s="56" t="e">
        <f>AE72+AE71+AE66-0.01</f>
        <v>#REF!</v>
      </c>
      <c r="AF78" s="56"/>
      <c r="AG78" s="56" t="e">
        <f>AG72+AG71+AG66</f>
        <v>#REF!</v>
      </c>
      <c r="AH78" s="56"/>
      <c r="AI78" s="191" t="e">
        <f t="shared" si="24"/>
        <v>#REF!</v>
      </c>
      <c r="AJ78" s="192"/>
    </row>
    <row r="79" spans="1:36" ht="15.75" hidden="1" customHeight="1">
      <c r="A79" s="43"/>
      <c r="B79" s="17" t="s">
        <v>17</v>
      </c>
      <c r="C79" s="43"/>
      <c r="D79" s="43"/>
      <c r="E79" s="16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191">
        <f t="shared" si="24"/>
        <v>0</v>
      </c>
      <c r="AJ79" s="192"/>
    </row>
    <row r="80" spans="1:36" ht="18" hidden="1" customHeight="1">
      <c r="A80" s="54"/>
      <c r="B80" s="17" t="s">
        <v>18</v>
      </c>
      <c r="C80" s="105"/>
      <c r="D80" s="10"/>
      <c r="E80" s="58" t="e">
        <f>E68</f>
        <v>#REF!</v>
      </c>
      <c r="F80" s="58" t="e">
        <f>F68</f>
        <v>#REF!</v>
      </c>
      <c r="G80" s="58" t="e">
        <f>G68</f>
        <v>#REF!</v>
      </c>
      <c r="H80" s="58" t="e">
        <f>H68</f>
        <v>#REF!</v>
      </c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 t="e">
        <f>Y68</f>
        <v>#REF!</v>
      </c>
      <c r="Z80" s="58"/>
      <c r="AA80" s="58"/>
      <c r="AB80" s="58"/>
      <c r="AC80" s="58"/>
      <c r="AD80" s="58"/>
      <c r="AE80" s="58" t="e">
        <f>AE68</f>
        <v>#REF!</v>
      </c>
      <c r="AF80" s="58"/>
      <c r="AG80" s="58" t="e">
        <f>AG68</f>
        <v>#REF!</v>
      </c>
      <c r="AH80" s="58"/>
      <c r="AI80" s="191" t="e">
        <f t="shared" si="24"/>
        <v>#REF!</v>
      </c>
      <c r="AJ80" s="192"/>
    </row>
    <row r="81" spans="1:250" ht="21.75" hidden="1" customHeight="1" thickBot="1">
      <c r="A81" s="54"/>
      <c r="B81" s="17" t="s">
        <v>77</v>
      </c>
      <c r="C81" s="105"/>
      <c r="D81" s="10"/>
      <c r="E81" s="28" t="e">
        <f>E77+E69</f>
        <v>#REF!</v>
      </c>
      <c r="F81" s="28" t="e">
        <f>F77+F69</f>
        <v>#REF!</v>
      </c>
      <c r="G81" s="28" t="e">
        <f>G77+G69</f>
        <v>#REF!</v>
      </c>
      <c r="H81" s="28" t="e">
        <f>H77+H69</f>
        <v>#REF!</v>
      </c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 t="e">
        <f>Y77+Y69</f>
        <v>#REF!</v>
      </c>
      <c r="Z81" s="28"/>
      <c r="AA81" s="28"/>
      <c r="AB81" s="28"/>
      <c r="AC81" s="28"/>
      <c r="AD81" s="28"/>
      <c r="AE81" s="28" t="e">
        <f>AE77+AE69</f>
        <v>#REF!</v>
      </c>
      <c r="AF81" s="28"/>
      <c r="AG81" s="28" t="e">
        <f>AG77+AG69</f>
        <v>#REF!</v>
      </c>
      <c r="AH81" s="28"/>
      <c r="AI81" s="191" t="e">
        <f t="shared" si="24"/>
        <v>#REF!</v>
      </c>
      <c r="AJ81" s="192"/>
    </row>
    <row r="82" spans="1:250" ht="19.5" hidden="1" customHeight="1" thickBot="1">
      <c r="A82" s="267" t="s">
        <v>42</v>
      </c>
      <c r="B82" s="267"/>
      <c r="C82" s="267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90"/>
      <c r="AI82" s="191">
        <f t="shared" si="24"/>
        <v>0</v>
      </c>
      <c r="AJ82" s="192"/>
    </row>
    <row r="83" spans="1:250" s="8" customFormat="1" ht="23.25" hidden="1" customHeight="1">
      <c r="A83" s="23"/>
      <c r="B83" s="278" t="s">
        <v>43</v>
      </c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106"/>
      <c r="AI83" s="191">
        <f t="shared" si="24"/>
        <v>0</v>
      </c>
      <c r="AJ83" s="195"/>
    </row>
    <row r="84" spans="1:250" ht="22.5" hidden="1" customHeight="1">
      <c r="A84" s="264" t="s">
        <v>12</v>
      </c>
      <c r="B84" s="281" t="s">
        <v>73</v>
      </c>
      <c r="C84" s="248" t="s">
        <v>13</v>
      </c>
      <c r="D84" s="41"/>
      <c r="E84" s="282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5"/>
      <c r="AH84" s="24"/>
      <c r="AI84" s="191">
        <f t="shared" si="24"/>
        <v>0</v>
      </c>
      <c r="AJ84" s="192"/>
    </row>
    <row r="85" spans="1:250" ht="23.25" hidden="1" customHeight="1">
      <c r="A85" s="264"/>
      <c r="B85" s="281"/>
      <c r="C85" s="248"/>
      <c r="D85" s="41"/>
      <c r="E85" s="282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5"/>
      <c r="AH85" s="24"/>
      <c r="AI85" s="191">
        <f t="shared" si="24"/>
        <v>0</v>
      </c>
      <c r="AJ85" s="192"/>
    </row>
    <row r="86" spans="1:250" ht="24.75" hidden="1" customHeight="1">
      <c r="A86" s="277" t="s">
        <v>44</v>
      </c>
      <c r="B86" s="297" t="s">
        <v>74</v>
      </c>
      <c r="C86" s="280" t="s">
        <v>16</v>
      </c>
      <c r="D86" s="38" t="s">
        <v>14</v>
      </c>
      <c r="E86" s="18" t="e">
        <f>#REF!+F86+G86+H86+Y86+AE86+AG86</f>
        <v>#REF!</v>
      </c>
      <c r="F86" s="107">
        <v>0</v>
      </c>
      <c r="G86" s="107">
        <v>0</v>
      </c>
      <c r="H86" s="107">
        <v>0</v>
      </c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>
        <v>0</v>
      </c>
      <c r="Z86" s="107"/>
      <c r="AA86" s="107"/>
      <c r="AB86" s="107"/>
      <c r="AC86" s="107"/>
      <c r="AD86" s="107"/>
      <c r="AE86" s="107">
        <v>0</v>
      </c>
      <c r="AF86" s="107"/>
      <c r="AG86" s="107">
        <v>0</v>
      </c>
      <c r="AH86" s="107"/>
      <c r="AI86" s="191">
        <f t="shared" ref="AI86:AI149" si="27">AA86+Y86+W86+U86+O86+Q86+S86+AC86+AE86+AG86</f>
        <v>0</v>
      </c>
      <c r="AJ86" s="192"/>
    </row>
    <row r="87" spans="1:250" ht="27" hidden="1" customHeight="1" thickBot="1">
      <c r="A87" s="277"/>
      <c r="B87" s="297"/>
      <c r="C87" s="280"/>
      <c r="D87" s="38" t="s">
        <v>15</v>
      </c>
      <c r="E87" s="66" t="e">
        <f>#REF!+F87+G87+H87+Y87+AE87+AG87</f>
        <v>#REF!</v>
      </c>
      <c r="F87" s="62" t="e">
        <f>#REF!*1.048+0.03</f>
        <v>#REF!</v>
      </c>
      <c r="G87" s="62" t="e">
        <f>F87*1.049</f>
        <v>#REF!</v>
      </c>
      <c r="H87" s="62" t="e">
        <f>G87*1.05+0.06</f>
        <v>#REF!</v>
      </c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 t="e">
        <f>H87*1.05-0.01</f>
        <v>#REF!</v>
      </c>
      <c r="Z87" s="62"/>
      <c r="AA87" s="62"/>
      <c r="AB87" s="62"/>
      <c r="AC87" s="62"/>
      <c r="AD87" s="62"/>
      <c r="AE87" s="62" t="e">
        <f>Y87*1.05+0.05</f>
        <v>#REF!</v>
      </c>
      <c r="AF87" s="62"/>
      <c r="AG87" s="62" t="e">
        <f>AE87*1.05-0.01</f>
        <v>#REF!</v>
      </c>
      <c r="AH87" s="62"/>
      <c r="AI87" s="191" t="e">
        <f t="shared" si="27"/>
        <v>#REF!</v>
      </c>
      <c r="AJ87" s="192"/>
    </row>
    <row r="88" spans="1:250" ht="18.75" hidden="1" customHeight="1">
      <c r="A88" s="43"/>
      <c r="B88" s="60" t="s">
        <v>39</v>
      </c>
      <c r="C88" s="13"/>
      <c r="D88" s="13"/>
      <c r="E88" s="98" t="e">
        <f>E86+E87</f>
        <v>#REF!</v>
      </c>
      <c r="F88" s="98" t="e">
        <f>F86+F87</f>
        <v>#REF!</v>
      </c>
      <c r="G88" s="98" t="e">
        <f>G86+G87</f>
        <v>#REF!</v>
      </c>
      <c r="H88" s="98" t="e">
        <f>H86+H87</f>
        <v>#REF!</v>
      </c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 t="e">
        <f>Y86+Y87</f>
        <v>#REF!</v>
      </c>
      <c r="Z88" s="98"/>
      <c r="AA88" s="98"/>
      <c r="AB88" s="98"/>
      <c r="AC88" s="98"/>
      <c r="AD88" s="98"/>
      <c r="AE88" s="98" t="e">
        <f>AE86+AE87</f>
        <v>#REF!</v>
      </c>
      <c r="AF88" s="98"/>
      <c r="AG88" s="98" t="e">
        <f>AG86+AG87</f>
        <v>#REF!</v>
      </c>
      <c r="AH88" s="98"/>
      <c r="AI88" s="191" t="e">
        <f t="shared" si="27"/>
        <v>#REF!</v>
      </c>
      <c r="AJ88" s="192"/>
    </row>
    <row r="89" spans="1:250" ht="15.75" hidden="1" customHeight="1">
      <c r="A89" s="43"/>
      <c r="B89" s="14" t="s">
        <v>17</v>
      </c>
      <c r="C89" s="43"/>
      <c r="D89" s="43"/>
      <c r="E89" s="16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191">
        <f t="shared" si="27"/>
        <v>0</v>
      </c>
      <c r="AJ89" s="192"/>
    </row>
    <row r="90" spans="1:250" ht="16.5" hidden="1" customHeight="1">
      <c r="A90" s="43"/>
      <c r="B90" s="17" t="s">
        <v>18</v>
      </c>
      <c r="C90" s="43"/>
      <c r="D90" s="43"/>
      <c r="E90" s="18" t="e">
        <f>E86</f>
        <v>#REF!</v>
      </c>
      <c r="F90" s="18">
        <f t="shared" ref="F90:H91" si="28">F86</f>
        <v>0</v>
      </c>
      <c r="G90" s="18">
        <f t="shared" si="28"/>
        <v>0</v>
      </c>
      <c r="H90" s="18">
        <f t="shared" si="28"/>
        <v>0</v>
      </c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>
        <f>Y86</f>
        <v>0</v>
      </c>
      <c r="Z90" s="18"/>
      <c r="AA90" s="18"/>
      <c r="AB90" s="18"/>
      <c r="AC90" s="18"/>
      <c r="AD90" s="18"/>
      <c r="AE90" s="18">
        <f>AE86</f>
        <v>0</v>
      </c>
      <c r="AF90" s="18"/>
      <c r="AG90" s="18">
        <f>AG86</f>
        <v>0</v>
      </c>
      <c r="AH90" s="18"/>
      <c r="AI90" s="191">
        <f t="shared" si="27"/>
        <v>0</v>
      </c>
      <c r="AJ90" s="192"/>
    </row>
    <row r="91" spans="1:250" ht="14.25" hidden="1" customHeight="1" thickBot="1">
      <c r="A91" s="43"/>
      <c r="B91" s="17" t="s">
        <v>77</v>
      </c>
      <c r="C91" s="43"/>
      <c r="D91" s="43"/>
      <c r="E91" s="66" t="e">
        <f>E87</f>
        <v>#REF!</v>
      </c>
      <c r="F91" s="66" t="e">
        <f t="shared" si="28"/>
        <v>#REF!</v>
      </c>
      <c r="G91" s="66" t="e">
        <f t="shared" si="28"/>
        <v>#REF!</v>
      </c>
      <c r="H91" s="66" t="e">
        <f t="shared" si="28"/>
        <v>#REF!</v>
      </c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 t="e">
        <f>Y87</f>
        <v>#REF!</v>
      </c>
      <c r="Z91" s="66"/>
      <c r="AA91" s="66"/>
      <c r="AB91" s="66"/>
      <c r="AC91" s="66"/>
      <c r="AD91" s="66"/>
      <c r="AE91" s="66" t="e">
        <f>AE87</f>
        <v>#REF!</v>
      </c>
      <c r="AF91" s="66"/>
      <c r="AG91" s="66" t="e">
        <f>AG87</f>
        <v>#REF!</v>
      </c>
      <c r="AH91" s="66"/>
      <c r="AI91" s="191" t="e">
        <f t="shared" si="27"/>
        <v>#REF!</v>
      </c>
      <c r="AJ91" s="192"/>
    </row>
    <row r="92" spans="1:250" ht="29.25" hidden="1" customHeight="1">
      <c r="A92" s="39"/>
      <c r="B92" s="266" t="s">
        <v>68</v>
      </c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6"/>
      <c r="AH92" s="91"/>
      <c r="AI92" s="191">
        <f t="shared" si="27"/>
        <v>0</v>
      </c>
      <c r="AJ92" s="192"/>
    </row>
    <row r="93" spans="1:250" ht="20.25" hidden="1" customHeight="1">
      <c r="A93" s="277" t="s">
        <v>45</v>
      </c>
      <c r="B93" s="277" t="s">
        <v>69</v>
      </c>
      <c r="C93" s="280" t="s">
        <v>46</v>
      </c>
      <c r="D93" s="38" t="s">
        <v>14</v>
      </c>
      <c r="E93" s="18" t="e">
        <f>#REF!+F93+G93+H93+Y93+AE93+AG93</f>
        <v>#REF!</v>
      </c>
      <c r="F93" s="61"/>
      <c r="G93" s="61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9"/>
      <c r="AF93" s="109"/>
      <c r="AG93" s="109"/>
      <c r="AH93" s="109"/>
      <c r="AI93" s="191">
        <f t="shared" si="27"/>
        <v>0</v>
      </c>
      <c r="AJ93" s="192"/>
    </row>
    <row r="94" spans="1:250" ht="16.5" hidden="1" customHeight="1">
      <c r="A94" s="277"/>
      <c r="B94" s="277"/>
      <c r="C94" s="280"/>
      <c r="D94" s="38" t="s">
        <v>15</v>
      </c>
      <c r="E94" s="66" t="e">
        <f>#REF!+F94+G94+H94+Y94+AE94+AG94</f>
        <v>#REF!</v>
      </c>
      <c r="F94" s="62">
        <v>3200</v>
      </c>
      <c r="G94" s="62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1"/>
      <c r="Z94" s="111"/>
      <c r="AA94" s="111"/>
      <c r="AB94" s="111"/>
      <c r="AC94" s="111"/>
      <c r="AD94" s="111"/>
      <c r="AE94" s="112"/>
      <c r="AF94" s="112"/>
      <c r="AG94" s="112"/>
      <c r="AH94" s="112"/>
      <c r="AI94" s="191">
        <f t="shared" si="27"/>
        <v>0</v>
      </c>
      <c r="AJ94" s="192"/>
    </row>
    <row r="95" spans="1:250" ht="18" hidden="1" customHeight="1">
      <c r="A95" s="277" t="s">
        <v>47</v>
      </c>
      <c r="B95" s="277" t="s">
        <v>70</v>
      </c>
      <c r="C95" s="280" t="s">
        <v>46</v>
      </c>
      <c r="D95" s="38" t="s">
        <v>14</v>
      </c>
      <c r="E95" s="18" t="e">
        <f>#REF!+F95+G95+H95+Y95+AE95+AG95</f>
        <v>#REF!</v>
      </c>
      <c r="F95" s="63"/>
      <c r="G95" s="6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08"/>
      <c r="Z95" s="108"/>
      <c r="AA95" s="108"/>
      <c r="AB95" s="108"/>
      <c r="AC95" s="108"/>
      <c r="AD95" s="108"/>
      <c r="AE95" s="109"/>
      <c r="AF95" s="109"/>
      <c r="AG95" s="109"/>
      <c r="AH95" s="109"/>
      <c r="AI95" s="191">
        <f t="shared" si="27"/>
        <v>0</v>
      </c>
      <c r="AJ95" s="193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</row>
    <row r="96" spans="1:250" ht="18.75" hidden="1" customHeight="1">
      <c r="A96" s="277"/>
      <c r="B96" s="277"/>
      <c r="C96" s="280"/>
      <c r="D96" s="38" t="s">
        <v>15</v>
      </c>
      <c r="E96" s="66" t="e">
        <f>#REF!+F96+G96+H96+Y96+AE96+AG96</f>
        <v>#REF!</v>
      </c>
      <c r="F96" s="62"/>
      <c r="G96" s="62"/>
      <c r="H96" s="62">
        <v>4400</v>
      </c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>
        <v>4400</v>
      </c>
      <c r="Z96" s="62"/>
      <c r="AA96" s="62"/>
      <c r="AB96" s="62"/>
      <c r="AC96" s="62"/>
      <c r="AD96" s="62"/>
      <c r="AE96" s="112"/>
      <c r="AF96" s="112"/>
      <c r="AG96" s="112"/>
      <c r="AH96" s="112"/>
      <c r="AI96" s="191">
        <f t="shared" si="27"/>
        <v>4400</v>
      </c>
      <c r="AJ96" s="193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</row>
    <row r="97" spans="1:250" ht="18" hidden="1" customHeight="1">
      <c r="A97" s="277" t="s">
        <v>48</v>
      </c>
      <c r="B97" s="277" t="s">
        <v>84</v>
      </c>
      <c r="C97" s="280" t="s">
        <v>46</v>
      </c>
      <c r="D97" s="38" t="s">
        <v>14</v>
      </c>
      <c r="E97" s="18" t="e">
        <f>#REF!+F97+G97+H97+Y97+AE97+AG97</f>
        <v>#REF!</v>
      </c>
      <c r="F97" s="63"/>
      <c r="G97" s="6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08"/>
      <c r="Z97" s="108"/>
      <c r="AA97" s="108"/>
      <c r="AB97" s="108"/>
      <c r="AC97" s="108"/>
      <c r="AD97" s="108"/>
      <c r="AE97" s="109"/>
      <c r="AF97" s="109"/>
      <c r="AG97" s="109"/>
      <c r="AH97" s="109"/>
      <c r="AI97" s="191">
        <f t="shared" si="27"/>
        <v>0</v>
      </c>
      <c r="AJ97" s="193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</row>
    <row r="98" spans="1:250" ht="21.75" hidden="1" customHeight="1">
      <c r="A98" s="277"/>
      <c r="B98" s="277"/>
      <c r="C98" s="280"/>
      <c r="D98" s="38" t="s">
        <v>15</v>
      </c>
      <c r="E98" s="66" t="e">
        <f>#REF!+F98+G98+H98+Y98+AE98+AG98</f>
        <v>#REF!</v>
      </c>
      <c r="F98" s="62"/>
      <c r="G98" s="62"/>
      <c r="H98" s="62">
        <v>3400</v>
      </c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111"/>
      <c r="Z98" s="111"/>
      <c r="AA98" s="111"/>
      <c r="AB98" s="111"/>
      <c r="AC98" s="111"/>
      <c r="AD98" s="111"/>
      <c r="AE98" s="112"/>
      <c r="AF98" s="112"/>
      <c r="AG98" s="112"/>
      <c r="AH98" s="112"/>
      <c r="AI98" s="191">
        <f t="shared" si="27"/>
        <v>0</v>
      </c>
      <c r="AJ98" s="193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</row>
    <row r="99" spans="1:250" ht="141.75" hidden="1" customHeight="1">
      <c r="A99" s="73" t="s">
        <v>49</v>
      </c>
      <c r="B99" s="65" t="s">
        <v>83</v>
      </c>
      <c r="C99" s="114" t="s">
        <v>50</v>
      </c>
      <c r="D99" s="38" t="s">
        <v>15</v>
      </c>
      <c r="E99" s="66" t="e">
        <f>#REF!+F99+G99+H99+Y99+AE99+AG99</f>
        <v>#REF!</v>
      </c>
      <c r="F99" s="66"/>
      <c r="G99" s="69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2"/>
      <c r="AF99" s="112"/>
      <c r="AG99" s="112"/>
      <c r="AH99" s="112"/>
      <c r="AI99" s="191">
        <f t="shared" si="27"/>
        <v>0</v>
      </c>
      <c r="AJ99" s="193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</row>
    <row r="100" spans="1:250" ht="54" hidden="1" customHeight="1">
      <c r="A100" s="73" t="s">
        <v>51</v>
      </c>
      <c r="B100" s="67" t="s">
        <v>52</v>
      </c>
      <c r="C100" s="38" t="s">
        <v>16</v>
      </c>
      <c r="D100" s="38" t="s">
        <v>15</v>
      </c>
      <c r="E100" s="66" t="e">
        <f>#REF!+F100+G100+H100+Y100+AE100+AG100</f>
        <v>#REF!</v>
      </c>
      <c r="F100" s="66" t="e">
        <f>#REF!*1.056-0.01</f>
        <v>#REF!</v>
      </c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191">
        <f t="shared" si="27"/>
        <v>0</v>
      </c>
      <c r="AJ100" s="193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</row>
    <row r="101" spans="1:250" ht="39.75" hidden="1" customHeight="1">
      <c r="A101" s="73" t="s">
        <v>53</v>
      </c>
      <c r="B101" s="67" t="s">
        <v>80</v>
      </c>
      <c r="C101" s="38" t="s">
        <v>16</v>
      </c>
      <c r="D101" s="38" t="s">
        <v>15</v>
      </c>
      <c r="E101" s="66" t="e">
        <f>#REF!+F101+G101+H101+Y101+AE101+AG101</f>
        <v>#REF!</v>
      </c>
      <c r="F101" s="69"/>
      <c r="G101" s="69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6"/>
      <c r="AF101" s="116"/>
      <c r="AG101" s="116"/>
      <c r="AH101" s="116"/>
      <c r="AI101" s="191">
        <f t="shared" si="27"/>
        <v>0</v>
      </c>
      <c r="AJ101" s="193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</row>
    <row r="102" spans="1:250" ht="38.25" hidden="1" customHeight="1">
      <c r="A102" s="73" t="s">
        <v>54</v>
      </c>
      <c r="B102" s="67" t="s">
        <v>71</v>
      </c>
      <c r="C102" s="38" t="s">
        <v>16</v>
      </c>
      <c r="D102" s="38" t="s">
        <v>15</v>
      </c>
      <c r="E102" s="66" t="e">
        <f>#REF!+F102+G102+H102+Y102+AE102+AG102</f>
        <v>#REF!</v>
      </c>
      <c r="F102" s="62"/>
      <c r="G102" s="62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91">
        <f t="shared" si="27"/>
        <v>0</v>
      </c>
      <c r="AJ102" s="193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</row>
    <row r="103" spans="1:250" ht="38.25" hidden="1" customHeight="1">
      <c r="A103" s="73" t="s">
        <v>55</v>
      </c>
      <c r="B103" s="68" t="s">
        <v>85</v>
      </c>
      <c r="C103" s="38" t="s">
        <v>16</v>
      </c>
      <c r="D103" s="38" t="s">
        <v>15</v>
      </c>
      <c r="E103" s="66" t="e">
        <f>#REF!+F103+G103+H103+Y103+AE103+AG103</f>
        <v>#REF!</v>
      </c>
      <c r="F103" s="62">
        <f>1186.2*1.2*1.056+0.05</f>
        <v>1503.20264</v>
      </c>
      <c r="G103" s="62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91">
        <f t="shared" si="27"/>
        <v>0</v>
      </c>
      <c r="AJ103" s="193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</row>
    <row r="104" spans="1:250" ht="38.25" hidden="1" customHeight="1">
      <c r="A104" s="73" t="s">
        <v>56</v>
      </c>
      <c r="B104" s="68" t="s">
        <v>57</v>
      </c>
      <c r="C104" s="38" t="s">
        <v>16</v>
      </c>
      <c r="D104" s="38" t="s">
        <v>15</v>
      </c>
      <c r="E104" s="66" t="e">
        <f>#REF!+F104+G104+H104+Y104+AE104+AG104</f>
        <v>#REF!</v>
      </c>
      <c r="F104" s="62">
        <f>120*1.056-0.02</f>
        <v>126.7</v>
      </c>
      <c r="G104" s="62">
        <f>F103*1.049+0.04</f>
        <v>1576.8995693599998</v>
      </c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91">
        <f t="shared" si="27"/>
        <v>0</v>
      </c>
      <c r="AJ104" s="193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</row>
    <row r="105" spans="1:250" ht="38.25" hidden="1" customHeight="1" thickBot="1">
      <c r="A105" s="73" t="s">
        <v>58</v>
      </c>
      <c r="B105" s="67" t="s">
        <v>59</v>
      </c>
      <c r="C105" s="38" t="s">
        <v>16</v>
      </c>
      <c r="D105" s="38" t="s">
        <v>15</v>
      </c>
      <c r="E105" s="26" t="e">
        <f>#REF!+F105+G105+H105+Y105+AE105+AG105</f>
        <v>#REF!</v>
      </c>
      <c r="F105" s="69"/>
      <c r="G105" s="62">
        <f>F104*1.049-0.01</f>
        <v>132.89830000000001</v>
      </c>
      <c r="H105" s="62">
        <f>G104*1.038-0.02</f>
        <v>1636.8017529956799</v>
      </c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91">
        <f t="shared" si="27"/>
        <v>0</v>
      </c>
      <c r="AJ105" s="193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</row>
    <row r="106" spans="1:250" ht="18" hidden="1" customHeight="1">
      <c r="A106" s="43"/>
      <c r="B106" s="120" t="s">
        <v>40</v>
      </c>
      <c r="C106" s="121"/>
      <c r="D106" s="122"/>
      <c r="E106" s="123" t="e">
        <f>#REF!+F106+G106+H106+Y106+AE106+AG106</f>
        <v>#REF!</v>
      </c>
      <c r="F106" s="123" t="e">
        <f>F108+F109</f>
        <v>#REF!</v>
      </c>
      <c r="G106" s="123">
        <f>G108+G109</f>
        <v>1709.7978693599998</v>
      </c>
      <c r="H106" s="123">
        <f>H108+H109</f>
        <v>9436.8017529956796</v>
      </c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>
        <f>Y108+Y109</f>
        <v>4400</v>
      </c>
      <c r="Z106" s="123"/>
      <c r="AA106" s="123"/>
      <c r="AB106" s="123"/>
      <c r="AC106" s="123"/>
      <c r="AD106" s="123"/>
      <c r="AE106" s="123">
        <f>AE108+AE109</f>
        <v>0</v>
      </c>
      <c r="AF106" s="123"/>
      <c r="AG106" s="123">
        <f>AG108+AG109</f>
        <v>0</v>
      </c>
      <c r="AH106" s="123"/>
      <c r="AI106" s="191">
        <f t="shared" si="27"/>
        <v>4400</v>
      </c>
      <c r="AJ106" s="192"/>
    </row>
    <row r="107" spans="1:250" ht="15.75" hidden="1" customHeight="1">
      <c r="A107" s="43"/>
      <c r="B107" s="17" t="s">
        <v>17</v>
      </c>
      <c r="C107" s="14"/>
      <c r="D107" s="14"/>
      <c r="E107" s="16"/>
      <c r="F107" s="21"/>
      <c r="G107" s="21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191">
        <f t="shared" si="27"/>
        <v>0</v>
      </c>
      <c r="AJ107" s="192"/>
    </row>
    <row r="108" spans="1:250" ht="18" hidden="1" customHeight="1">
      <c r="A108" s="43"/>
      <c r="B108" s="17" t="s">
        <v>18</v>
      </c>
      <c r="C108" s="124"/>
      <c r="D108" s="14"/>
      <c r="E108" s="66" t="e">
        <f>#REF!+F108+G108+H108+Y108+AE108+AG108</f>
        <v>#REF!</v>
      </c>
      <c r="F108" s="18">
        <f>F93+F95+F97</f>
        <v>0</v>
      </c>
      <c r="G108" s="18">
        <f>G93+G95+G97</f>
        <v>0</v>
      </c>
      <c r="H108" s="18">
        <f>H93+H95+H97</f>
        <v>0</v>
      </c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>
        <f>Y93+Y95+Y97</f>
        <v>0</v>
      </c>
      <c r="Z108" s="18"/>
      <c r="AA108" s="18"/>
      <c r="AB108" s="18"/>
      <c r="AC108" s="18"/>
      <c r="AD108" s="18"/>
      <c r="AE108" s="18">
        <f>AE93+AE95+AE97</f>
        <v>0</v>
      </c>
      <c r="AF108" s="18"/>
      <c r="AG108" s="18">
        <f>AG93+AG95+AG97</f>
        <v>0</v>
      </c>
      <c r="AH108" s="18"/>
      <c r="AI108" s="191">
        <f t="shared" si="27"/>
        <v>0</v>
      </c>
      <c r="AJ108" s="192"/>
    </row>
    <row r="109" spans="1:250" ht="18" hidden="1" customHeight="1" thickBot="1">
      <c r="A109" s="43"/>
      <c r="B109" s="17" t="s">
        <v>77</v>
      </c>
      <c r="C109" s="124"/>
      <c r="D109" s="14"/>
      <c r="E109" s="66" t="e">
        <f>#REF!+F109+G109+H109+Y109+AE109+AG109</f>
        <v>#REF!</v>
      </c>
      <c r="F109" s="66" t="e">
        <f>F94+F96+F98+F99+F100+F101+F102+F103+F104+F105+0.1</f>
        <v>#REF!</v>
      </c>
      <c r="G109" s="66">
        <f>G94+G96+G98+G99+G100+G101+G102+G103+G104+G105</f>
        <v>1709.7978693599998</v>
      </c>
      <c r="H109" s="66">
        <f>H94+H96+H98+H99+H100+H101+H102+H103+H104+H105</f>
        <v>9436.8017529956796</v>
      </c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>
        <f>Y94+Y96+Y98+Y99+Y100+Y101+Y102+Y103+Y104+Y105</f>
        <v>4400</v>
      </c>
      <c r="Z109" s="66"/>
      <c r="AA109" s="66"/>
      <c r="AB109" s="66"/>
      <c r="AC109" s="66"/>
      <c r="AD109" s="66"/>
      <c r="AE109" s="66">
        <f>AE94+AE96+AE98+AE99+AE100+AE101+AE102+AE103+AE104+AE105</f>
        <v>0</v>
      </c>
      <c r="AF109" s="66"/>
      <c r="AG109" s="66">
        <f>AG94+AG96+AG98+AG99+AG100+AG101+AG102+AG103+AG104+AG105</f>
        <v>0</v>
      </c>
      <c r="AH109" s="66"/>
      <c r="AI109" s="191">
        <f t="shared" si="27"/>
        <v>4400</v>
      </c>
      <c r="AJ109" s="192"/>
    </row>
    <row r="110" spans="1:250" ht="16.5" hidden="1" customHeight="1">
      <c r="A110" s="64"/>
      <c r="B110" s="71" t="s">
        <v>60</v>
      </c>
      <c r="C110" s="125"/>
      <c r="D110" s="126"/>
      <c r="E110" s="72" t="e">
        <f>E112+E113</f>
        <v>#REF!</v>
      </c>
      <c r="F110" s="72" t="e">
        <f>F112+F113</f>
        <v>#REF!</v>
      </c>
      <c r="G110" s="72" t="e">
        <f>G112+G113</f>
        <v>#REF!</v>
      </c>
      <c r="H110" s="72" t="e">
        <f>H112+H113</f>
        <v>#REF!</v>
      </c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 t="e">
        <f>Y112+Y113</f>
        <v>#REF!</v>
      </c>
      <c r="Z110" s="72"/>
      <c r="AA110" s="72"/>
      <c r="AB110" s="72"/>
      <c r="AC110" s="72"/>
      <c r="AD110" s="72"/>
      <c r="AE110" s="72" t="e">
        <f>AE112+AE113</f>
        <v>#REF!</v>
      </c>
      <c r="AF110" s="72"/>
      <c r="AG110" s="72" t="e">
        <f>AG112+AG113</f>
        <v>#REF!</v>
      </c>
      <c r="AH110" s="72"/>
      <c r="AI110" s="191" t="e">
        <f t="shared" si="27"/>
        <v>#REF!</v>
      </c>
      <c r="AJ110" s="193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</row>
    <row r="111" spans="1:250" ht="15.75" hidden="1" customHeight="1">
      <c r="A111" s="43"/>
      <c r="B111" s="17" t="s">
        <v>17</v>
      </c>
      <c r="C111" s="14"/>
      <c r="D111" s="14"/>
      <c r="E111" s="15"/>
      <c r="F111" s="43"/>
      <c r="G111" s="16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191">
        <f t="shared" si="27"/>
        <v>0</v>
      </c>
      <c r="AJ111" s="192"/>
    </row>
    <row r="112" spans="1:250" ht="18" hidden="1" customHeight="1">
      <c r="A112" s="43"/>
      <c r="B112" s="17" t="s">
        <v>18</v>
      </c>
      <c r="C112" s="124"/>
      <c r="D112" s="14"/>
      <c r="E112" s="66" t="e">
        <f>#REF!+F112+G112+H112+Y112+AE112+AG112</f>
        <v>#REF!</v>
      </c>
      <c r="F112" s="18">
        <f t="shared" ref="F112:H113" si="29">F108+F90</f>
        <v>0</v>
      </c>
      <c r="G112" s="18">
        <f t="shared" si="29"/>
        <v>0</v>
      </c>
      <c r="H112" s="18">
        <f t="shared" si="29"/>
        <v>0</v>
      </c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>
        <f>Y108+Y90</f>
        <v>0</v>
      </c>
      <c r="Z112" s="18"/>
      <c r="AA112" s="18"/>
      <c r="AB112" s="18"/>
      <c r="AC112" s="18"/>
      <c r="AD112" s="18"/>
      <c r="AE112" s="18">
        <f>AE108+AE90</f>
        <v>0</v>
      </c>
      <c r="AF112" s="18"/>
      <c r="AG112" s="18">
        <f>AG108+AG90</f>
        <v>0</v>
      </c>
      <c r="AH112" s="18"/>
      <c r="AI112" s="191">
        <f t="shared" si="27"/>
        <v>0</v>
      </c>
      <c r="AJ112" s="192"/>
    </row>
    <row r="113" spans="1:250" ht="18" hidden="1" customHeight="1" thickBot="1">
      <c r="A113" s="43"/>
      <c r="B113" s="17" t="s">
        <v>77</v>
      </c>
      <c r="C113" s="124"/>
      <c r="D113" s="14"/>
      <c r="E113" s="66" t="e">
        <f>#REF!+F113+G113+H113+Y113+AE113+AG113</f>
        <v>#REF!</v>
      </c>
      <c r="F113" s="66" t="e">
        <f t="shared" si="29"/>
        <v>#REF!</v>
      </c>
      <c r="G113" s="66" t="e">
        <f t="shared" si="29"/>
        <v>#REF!</v>
      </c>
      <c r="H113" s="66" t="e">
        <f t="shared" si="29"/>
        <v>#REF!</v>
      </c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 t="e">
        <f>Y109+Y91</f>
        <v>#REF!</v>
      </c>
      <c r="Z113" s="66"/>
      <c r="AA113" s="66"/>
      <c r="AB113" s="66"/>
      <c r="AC113" s="66"/>
      <c r="AD113" s="66"/>
      <c r="AE113" s="66" t="e">
        <f>AE109+AE91</f>
        <v>#REF!</v>
      </c>
      <c r="AF113" s="66"/>
      <c r="AG113" s="66" t="e">
        <f>AG109+AG91</f>
        <v>#REF!</v>
      </c>
      <c r="AH113" s="66"/>
      <c r="AI113" s="191" t="e">
        <f t="shared" si="27"/>
        <v>#REF!</v>
      </c>
      <c r="AJ113" s="192"/>
    </row>
    <row r="114" spans="1:250" ht="33.75" hidden="1" customHeight="1" thickBot="1">
      <c r="A114" s="64"/>
      <c r="B114" s="71" t="s">
        <v>61</v>
      </c>
      <c r="C114" s="125"/>
      <c r="D114" s="126"/>
      <c r="E114" s="66" t="e">
        <f>E116+E117-0.02</f>
        <v>#REF!</v>
      </c>
      <c r="F114" s="66" t="e">
        <f>F116+F117</f>
        <v>#REF!</v>
      </c>
      <c r="G114" s="66" t="e">
        <f>G116+G117</f>
        <v>#REF!</v>
      </c>
      <c r="H114" s="66" t="e">
        <f>H116+H117+0.01</f>
        <v>#REF!</v>
      </c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 t="e">
        <f>Y116+Y117</f>
        <v>#REF!</v>
      </c>
      <c r="Z114" s="66"/>
      <c r="AA114" s="66"/>
      <c r="AB114" s="66"/>
      <c r="AC114" s="66"/>
      <c r="AD114" s="66"/>
      <c r="AE114" s="66" t="e">
        <f>AE116+AE117-0.01</f>
        <v>#REF!</v>
      </c>
      <c r="AF114" s="66"/>
      <c r="AG114" s="66" t="e">
        <f>AG116+AG117</f>
        <v>#REF!</v>
      </c>
      <c r="AH114" s="66"/>
      <c r="AI114" s="191" t="e">
        <f t="shared" si="27"/>
        <v>#REF!</v>
      </c>
      <c r="AJ114" s="193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</row>
    <row r="115" spans="1:250" ht="15.75" hidden="1" customHeight="1">
      <c r="A115" s="288"/>
      <c r="B115" s="17" t="s">
        <v>17</v>
      </c>
      <c r="C115" s="14"/>
      <c r="D115" s="14"/>
      <c r="E115" s="15"/>
      <c r="F115" s="43"/>
      <c r="G115" s="16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191">
        <f t="shared" si="27"/>
        <v>0</v>
      </c>
      <c r="AJ115" s="192"/>
    </row>
    <row r="116" spans="1:250" ht="16.5" hidden="1" customHeight="1">
      <c r="A116" s="288"/>
      <c r="B116" s="17" t="s">
        <v>18</v>
      </c>
      <c r="C116" s="124"/>
      <c r="D116" s="14"/>
      <c r="E116" s="66" t="e">
        <f>#REF!+F116+G116+H116+Y116+AE116+AG116</f>
        <v>#REF!</v>
      </c>
      <c r="F116" s="18" t="e">
        <f>F112+F80</f>
        <v>#REF!</v>
      </c>
      <c r="G116" s="18" t="e">
        <f>G112+G80</f>
        <v>#REF!</v>
      </c>
      <c r="H116" s="18" t="e">
        <f>H112+H80</f>
        <v>#REF!</v>
      </c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 t="e">
        <f>Y112+Y80</f>
        <v>#REF!</v>
      </c>
      <c r="Z116" s="18"/>
      <c r="AA116" s="18"/>
      <c r="AB116" s="18"/>
      <c r="AC116" s="18"/>
      <c r="AD116" s="18"/>
      <c r="AE116" s="18" t="e">
        <f>AE112+AE80</f>
        <v>#REF!</v>
      </c>
      <c r="AF116" s="18"/>
      <c r="AG116" s="18" t="e">
        <f>AG112+AG80</f>
        <v>#REF!</v>
      </c>
      <c r="AH116" s="18"/>
      <c r="AI116" s="191" t="e">
        <f t="shared" si="27"/>
        <v>#REF!</v>
      </c>
      <c r="AJ116" s="192"/>
    </row>
    <row r="117" spans="1:250" ht="17.25" hidden="1" customHeight="1" thickBot="1">
      <c r="A117" s="288"/>
      <c r="B117" s="17" t="s">
        <v>77</v>
      </c>
      <c r="C117" s="124"/>
      <c r="D117" s="14"/>
      <c r="E117" s="66" t="e">
        <f>#REF!+F117+G117+H117+Y117+AE117+AG117-0.01</f>
        <v>#REF!</v>
      </c>
      <c r="F117" s="66" t="e">
        <f>F113+F81-0.1</f>
        <v>#REF!</v>
      </c>
      <c r="G117" s="66" t="e">
        <f>G113+G81-0.1</f>
        <v>#REF!</v>
      </c>
      <c r="H117" s="66" t="e">
        <f>H113+H81+0.01</f>
        <v>#REF!</v>
      </c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 t="e">
        <f>Y113+Y81</f>
        <v>#REF!</v>
      </c>
      <c r="Z117" s="66"/>
      <c r="AA117" s="66"/>
      <c r="AB117" s="66"/>
      <c r="AC117" s="66"/>
      <c r="AD117" s="66"/>
      <c r="AE117" s="66" t="e">
        <f>AE113+AE81</f>
        <v>#REF!</v>
      </c>
      <c r="AF117" s="66"/>
      <c r="AG117" s="66" t="e">
        <f>AG113+AG81</f>
        <v>#REF!</v>
      </c>
      <c r="AH117" s="66"/>
      <c r="AI117" s="191" t="e">
        <f t="shared" si="27"/>
        <v>#REF!</v>
      </c>
      <c r="AJ117" s="192"/>
    </row>
    <row r="118" spans="1:250" ht="16.5" hidden="1" customHeight="1" thickBot="1">
      <c r="A118" s="64"/>
      <c r="B118" s="17" t="s">
        <v>17</v>
      </c>
      <c r="C118" s="14"/>
      <c r="D118" s="14"/>
      <c r="E118" s="75"/>
      <c r="F118" s="76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191">
        <f t="shared" si="27"/>
        <v>0</v>
      </c>
      <c r="AJ118" s="192"/>
    </row>
    <row r="119" spans="1:250" ht="18" hidden="1" customHeight="1">
      <c r="A119" s="248"/>
      <c r="B119" s="287" t="s">
        <v>62</v>
      </c>
      <c r="C119" s="124"/>
      <c r="D119" s="25" t="s">
        <v>63</v>
      </c>
      <c r="E119" s="127" t="e">
        <f>E120+E121</f>
        <v>#REF!</v>
      </c>
      <c r="F119" s="127" t="e">
        <f>F120+F121</f>
        <v>#REF!</v>
      </c>
      <c r="G119" s="127">
        <f>G120+G121</f>
        <v>9433.3777793600002</v>
      </c>
      <c r="H119" s="127" t="e">
        <f>H120+H121</f>
        <v>#REF!</v>
      </c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>
        <f>Y120+Y121</f>
        <v>5654.1900000000005</v>
      </c>
      <c r="Z119" s="127"/>
      <c r="AA119" s="127"/>
      <c r="AB119" s="127"/>
      <c r="AC119" s="127"/>
      <c r="AD119" s="127"/>
      <c r="AE119" s="127">
        <f>AE120+AE121</f>
        <v>14574.85</v>
      </c>
      <c r="AF119" s="127"/>
      <c r="AG119" s="127">
        <f>AG120+AG121</f>
        <v>0</v>
      </c>
      <c r="AH119" s="127"/>
      <c r="AI119" s="191">
        <f t="shared" si="27"/>
        <v>20229.04</v>
      </c>
      <c r="AJ119" s="192"/>
    </row>
    <row r="120" spans="1:250" ht="21" hidden="1" customHeight="1">
      <c r="A120" s="248"/>
      <c r="B120" s="287"/>
      <c r="C120" s="124"/>
      <c r="D120" s="38" t="s">
        <v>14</v>
      </c>
      <c r="E120" s="18" t="e">
        <f>#REF!+F120+G120+H120+Y120+AE120+AG120</f>
        <v>#REF!</v>
      </c>
      <c r="F120" s="18">
        <f>F154+F93+F95+F97</f>
        <v>22484.1</v>
      </c>
      <c r="G120" s="18">
        <f>G154+G93+G95+G97</f>
        <v>3638.18</v>
      </c>
      <c r="H120" s="18" t="e">
        <f>H154+H93+H95+H97</f>
        <v>#REF!</v>
      </c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>
        <f>Y154+Y93+Y95+Y97</f>
        <v>1191.48</v>
      </c>
      <c r="Z120" s="18"/>
      <c r="AA120" s="18"/>
      <c r="AB120" s="18"/>
      <c r="AC120" s="18"/>
      <c r="AD120" s="18"/>
      <c r="AE120" s="18">
        <f>AE154+AE93+AE95+AE97</f>
        <v>13845.93</v>
      </c>
      <c r="AF120" s="18"/>
      <c r="AG120" s="18">
        <f>AG154+AG93+AG95+AG97</f>
        <v>0</v>
      </c>
      <c r="AH120" s="18"/>
      <c r="AI120" s="191">
        <f t="shared" si="27"/>
        <v>15037.41</v>
      </c>
      <c r="AJ120" s="192"/>
    </row>
    <row r="121" spans="1:250" ht="21" hidden="1" customHeight="1" thickBot="1">
      <c r="A121" s="248"/>
      <c r="B121" s="287"/>
      <c r="C121" s="124"/>
      <c r="D121" s="38" t="s">
        <v>15</v>
      </c>
      <c r="E121" s="66" t="e">
        <f>#REF!+F121+G121+H121+Y121+AE121+AG121-0.01</f>
        <v>#REF!</v>
      </c>
      <c r="F121" s="66" t="e">
        <f>F155+F109</f>
        <v>#REF!</v>
      </c>
      <c r="G121" s="66">
        <f>G155+G109</f>
        <v>5795.1977793599999</v>
      </c>
      <c r="H121" s="66" t="e">
        <f>H155+H109</f>
        <v>#REF!</v>
      </c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>
        <f>Y155+Y109</f>
        <v>4462.71</v>
      </c>
      <c r="Z121" s="66"/>
      <c r="AA121" s="66"/>
      <c r="AB121" s="66"/>
      <c r="AC121" s="66"/>
      <c r="AD121" s="66"/>
      <c r="AE121" s="66">
        <f>AE155+AE109</f>
        <v>728.92</v>
      </c>
      <c r="AF121" s="66"/>
      <c r="AG121" s="66">
        <f>AG155+AG109</f>
        <v>0</v>
      </c>
      <c r="AH121" s="66"/>
      <c r="AI121" s="191">
        <f t="shared" si="27"/>
        <v>5191.63</v>
      </c>
      <c r="AJ121" s="192"/>
    </row>
    <row r="122" spans="1:250" ht="21" hidden="1" customHeight="1">
      <c r="A122" s="296"/>
      <c r="B122" s="287" t="s">
        <v>64</v>
      </c>
      <c r="C122" s="114"/>
      <c r="D122" s="25" t="s">
        <v>63</v>
      </c>
      <c r="E122" s="127" t="e">
        <f>E123+E124</f>
        <v>#REF!</v>
      </c>
      <c r="F122" s="127" t="e">
        <f>F123+F124</f>
        <v>#REF!</v>
      </c>
      <c r="G122" s="127" t="e">
        <f>G123+G124</f>
        <v>#REF!</v>
      </c>
      <c r="H122" s="127" t="e">
        <f>H123+H124</f>
        <v>#REF!</v>
      </c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 t="e">
        <f>Y123+Y124</f>
        <v>#REF!</v>
      </c>
      <c r="Z122" s="127"/>
      <c r="AA122" s="127"/>
      <c r="AB122" s="127"/>
      <c r="AC122" s="127"/>
      <c r="AD122" s="127"/>
      <c r="AE122" s="127" t="e">
        <f>AE123+AE124</f>
        <v>#REF!</v>
      </c>
      <c r="AF122" s="127"/>
      <c r="AG122" s="127" t="e">
        <f>AG123+AG124</f>
        <v>#REF!</v>
      </c>
      <c r="AH122" s="127"/>
      <c r="AI122" s="191" t="e">
        <f t="shared" si="27"/>
        <v>#REF!</v>
      </c>
      <c r="AJ122" s="193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</row>
    <row r="123" spans="1:250" ht="21" hidden="1" customHeight="1">
      <c r="A123" s="296"/>
      <c r="B123" s="287"/>
      <c r="C123" s="114"/>
      <c r="D123" s="38" t="s">
        <v>14</v>
      </c>
      <c r="E123" s="18" t="e">
        <f>#REF!+F123+G123+H123+Y123+AE123+AG123</f>
        <v>#REF!</v>
      </c>
      <c r="F123" s="18" t="e">
        <f>F64+F90+F108</f>
        <v>#REF!</v>
      </c>
      <c r="G123" s="18" t="e">
        <f>G64+G90+G108</f>
        <v>#REF!</v>
      </c>
      <c r="H123" s="18" t="e">
        <f>H64+H90+H108</f>
        <v>#REF!</v>
      </c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 t="e">
        <f>Y64+Y90+Y108</f>
        <v>#REF!</v>
      </c>
      <c r="Z123" s="18"/>
      <c r="AA123" s="18"/>
      <c r="AB123" s="18"/>
      <c r="AC123" s="18"/>
      <c r="AD123" s="18"/>
      <c r="AE123" s="18" t="e">
        <f>AE64+AE90+AE108</f>
        <v>#REF!</v>
      </c>
      <c r="AF123" s="18"/>
      <c r="AG123" s="18" t="e">
        <f>AG64+AG90+AG108</f>
        <v>#REF!</v>
      </c>
      <c r="AH123" s="18"/>
      <c r="AI123" s="191" t="e">
        <f t="shared" si="27"/>
        <v>#REF!</v>
      </c>
      <c r="AJ123" s="193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</row>
    <row r="124" spans="1:250" ht="19.5" hidden="1" customHeight="1" thickBot="1">
      <c r="A124" s="296"/>
      <c r="B124" s="287"/>
      <c r="C124" s="114"/>
      <c r="D124" s="38" t="s">
        <v>15</v>
      </c>
      <c r="E124" s="66" t="e">
        <f>#REF!+F124+G124+H124+Y124+AE124+AG124</f>
        <v>#REF!</v>
      </c>
      <c r="F124" s="66" t="e">
        <f>F65+F77+F91</f>
        <v>#REF!</v>
      </c>
      <c r="G124" s="66" t="e">
        <f>G65+G77+G91</f>
        <v>#REF!</v>
      </c>
      <c r="H124" s="66" t="e">
        <f>H65+H77+H91</f>
        <v>#REF!</v>
      </c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 t="e">
        <f>Y65+Y77+Y91</f>
        <v>#REF!</v>
      </c>
      <c r="Z124" s="66"/>
      <c r="AA124" s="66"/>
      <c r="AB124" s="66"/>
      <c r="AC124" s="66"/>
      <c r="AD124" s="66"/>
      <c r="AE124" s="66" t="e">
        <f>AE65+AE77+AE91</f>
        <v>#REF!</v>
      </c>
      <c r="AF124" s="66"/>
      <c r="AG124" s="66" t="e">
        <f>AG65+AG77+AG91</f>
        <v>#REF!</v>
      </c>
      <c r="AH124" s="66"/>
      <c r="AI124" s="191" t="e">
        <f t="shared" si="27"/>
        <v>#REF!</v>
      </c>
      <c r="AJ124" s="193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</row>
    <row r="125" spans="1:250" ht="15.75" hidden="1" customHeight="1" thickBot="1">
      <c r="A125" s="43"/>
      <c r="B125" s="17" t="s">
        <v>17</v>
      </c>
      <c r="C125" s="14"/>
      <c r="D125" s="14"/>
      <c r="E125" s="75"/>
      <c r="F125" s="76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191">
        <f t="shared" si="27"/>
        <v>0</v>
      </c>
      <c r="AJ125" s="192"/>
    </row>
    <row r="126" spans="1:250" ht="21.75" hidden="1" customHeight="1">
      <c r="A126" s="296"/>
      <c r="B126" s="287" t="s">
        <v>76</v>
      </c>
      <c r="C126" s="114"/>
      <c r="D126" s="25" t="s">
        <v>63</v>
      </c>
      <c r="E126" s="127" t="e">
        <f>E127+E128</f>
        <v>#REF!</v>
      </c>
      <c r="F126" s="127" t="e">
        <f>F127+F128</f>
        <v>#REF!</v>
      </c>
      <c r="G126" s="127" t="e">
        <f>G127+G128</f>
        <v>#REF!</v>
      </c>
      <c r="H126" s="127" t="e">
        <f>H127+H128</f>
        <v>#REF!</v>
      </c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 t="e">
        <f>Y127+Y128</f>
        <v>#REF!</v>
      </c>
      <c r="Z126" s="127"/>
      <c r="AA126" s="127"/>
      <c r="AB126" s="127"/>
      <c r="AC126" s="127"/>
      <c r="AD126" s="127"/>
      <c r="AE126" s="127" t="e">
        <f>AE127+AE128</f>
        <v>#REF!</v>
      </c>
      <c r="AF126" s="127"/>
      <c r="AG126" s="127" t="e">
        <f>AG127+AG128</f>
        <v>#REF!</v>
      </c>
      <c r="AH126" s="127"/>
      <c r="AI126" s="191" t="e">
        <f t="shared" si="27"/>
        <v>#REF!</v>
      </c>
      <c r="AJ126" s="193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</row>
    <row r="127" spans="1:250" ht="19.5" hidden="1" customHeight="1">
      <c r="A127" s="296"/>
      <c r="B127" s="287"/>
      <c r="C127" s="114"/>
      <c r="D127" s="38" t="s">
        <v>14</v>
      </c>
      <c r="E127" s="18" t="e">
        <f>#REF!+F127+G127+H127+Y127+AE127+AG127</f>
        <v>#REF!</v>
      </c>
      <c r="F127" s="18" t="e">
        <f t="shared" ref="F127:H128" si="30">F116</f>
        <v>#REF!</v>
      </c>
      <c r="G127" s="18" t="e">
        <f t="shared" si="30"/>
        <v>#REF!</v>
      </c>
      <c r="H127" s="18" t="e">
        <f t="shared" si="30"/>
        <v>#REF!</v>
      </c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 t="e">
        <f>Y116</f>
        <v>#REF!</v>
      </c>
      <c r="Z127" s="18"/>
      <c r="AA127" s="18"/>
      <c r="AB127" s="18"/>
      <c r="AC127" s="18"/>
      <c r="AD127" s="18"/>
      <c r="AE127" s="18" t="e">
        <f>AE116</f>
        <v>#REF!</v>
      </c>
      <c r="AF127" s="18"/>
      <c r="AG127" s="18" t="e">
        <f>AG116</f>
        <v>#REF!</v>
      </c>
      <c r="AH127" s="18"/>
      <c r="AI127" s="191" t="e">
        <f t="shared" si="27"/>
        <v>#REF!</v>
      </c>
      <c r="AJ127" s="193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</row>
    <row r="128" spans="1:250" ht="21" hidden="1" customHeight="1" thickBot="1">
      <c r="A128" s="296"/>
      <c r="B128" s="287"/>
      <c r="C128" s="114"/>
      <c r="D128" s="38" t="s">
        <v>15</v>
      </c>
      <c r="E128" s="66" t="e">
        <f>#REF!+F128+G128+H128+Y128+AE128+AG128-0.01</f>
        <v>#REF!</v>
      </c>
      <c r="F128" s="66" t="e">
        <f t="shared" si="30"/>
        <v>#REF!</v>
      </c>
      <c r="G128" s="66" t="e">
        <f t="shared" si="30"/>
        <v>#REF!</v>
      </c>
      <c r="H128" s="66" t="e">
        <f t="shared" si="30"/>
        <v>#REF!</v>
      </c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 t="e">
        <f>Y117</f>
        <v>#REF!</v>
      </c>
      <c r="Z128" s="66"/>
      <c r="AA128" s="66"/>
      <c r="AB128" s="66"/>
      <c r="AC128" s="66"/>
      <c r="AD128" s="66"/>
      <c r="AE128" s="66" t="e">
        <f>AE117</f>
        <v>#REF!</v>
      </c>
      <c r="AF128" s="66"/>
      <c r="AG128" s="66" t="e">
        <f>AG117</f>
        <v>#REF!</v>
      </c>
      <c r="AH128" s="66"/>
      <c r="AI128" s="191" t="e">
        <f t="shared" si="27"/>
        <v>#REF!</v>
      </c>
      <c r="AJ128" s="193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</row>
    <row r="129" spans="1:250" ht="18.75" hidden="1" customHeight="1">
      <c r="A129" s="296"/>
      <c r="B129" s="287" t="s">
        <v>65</v>
      </c>
      <c r="C129" s="114"/>
      <c r="D129" s="25" t="s">
        <v>63</v>
      </c>
      <c r="E129" s="127" t="e">
        <f>E130+E131</f>
        <v>#REF!</v>
      </c>
      <c r="F129" s="127">
        <f>F130+F131</f>
        <v>29595.599999999999</v>
      </c>
      <c r="G129" s="127">
        <f>G130+G131</f>
        <v>7723.5799100000004</v>
      </c>
      <c r="H129" s="127" t="e">
        <f>H130+H131</f>
        <v>#REF!</v>
      </c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>
        <f>Y130+Y131</f>
        <v>1254.19</v>
      </c>
      <c r="Z129" s="127"/>
      <c r="AA129" s="127"/>
      <c r="AB129" s="127"/>
      <c r="AC129" s="127"/>
      <c r="AD129" s="127"/>
      <c r="AE129" s="127">
        <f>AE130+AE131</f>
        <v>14574.85</v>
      </c>
      <c r="AF129" s="127"/>
      <c r="AG129" s="127">
        <f>AG130+AG131</f>
        <v>0</v>
      </c>
      <c r="AH129" s="127"/>
      <c r="AI129" s="191">
        <f t="shared" si="27"/>
        <v>15829.04</v>
      </c>
      <c r="AJ129" s="193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</row>
    <row r="130" spans="1:250" ht="21.75" hidden="1" customHeight="1">
      <c r="A130" s="296"/>
      <c r="B130" s="287"/>
      <c r="C130" s="114"/>
      <c r="D130" s="38" t="s">
        <v>14</v>
      </c>
      <c r="E130" s="18" t="e">
        <f>#REF!+F130+G130+H130+Y130+AE130+AG130</f>
        <v>#REF!</v>
      </c>
      <c r="F130" s="18">
        <f t="shared" ref="F130:H131" si="31">F154</f>
        <v>22484.1</v>
      </c>
      <c r="G130" s="18">
        <f t="shared" si="31"/>
        <v>3638.18</v>
      </c>
      <c r="H130" s="18" t="e">
        <f t="shared" si="31"/>
        <v>#REF!</v>
      </c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>
        <f>Y154</f>
        <v>1191.48</v>
      </c>
      <c r="Z130" s="18"/>
      <c r="AA130" s="18"/>
      <c r="AB130" s="18"/>
      <c r="AC130" s="18"/>
      <c r="AD130" s="18"/>
      <c r="AE130" s="18">
        <f>AE154</f>
        <v>13845.93</v>
      </c>
      <c r="AF130" s="18"/>
      <c r="AG130" s="18">
        <f>AG154</f>
        <v>0</v>
      </c>
      <c r="AH130" s="18"/>
      <c r="AI130" s="191">
        <f t="shared" si="27"/>
        <v>15037.41</v>
      </c>
      <c r="AJ130" s="193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</row>
    <row r="131" spans="1:250" ht="19.5" hidden="1" customHeight="1" thickBot="1">
      <c r="A131" s="296"/>
      <c r="B131" s="287"/>
      <c r="C131" s="114"/>
      <c r="D131" s="38" t="s">
        <v>15</v>
      </c>
      <c r="E131" s="66" t="e">
        <f>#REF!+F131+G131+H131+Y131+AE131+AG131-0.01</f>
        <v>#REF!</v>
      </c>
      <c r="F131" s="66">
        <f t="shared" si="31"/>
        <v>7111.5000000000009</v>
      </c>
      <c r="G131" s="66">
        <f t="shared" si="31"/>
        <v>4085.3999100000001</v>
      </c>
      <c r="H131" s="66" t="e">
        <f t="shared" si="31"/>
        <v>#REF!</v>
      </c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>
        <f>Y155</f>
        <v>62.71</v>
      </c>
      <c r="Z131" s="66"/>
      <c r="AA131" s="66"/>
      <c r="AB131" s="66"/>
      <c r="AC131" s="66"/>
      <c r="AD131" s="66"/>
      <c r="AE131" s="66">
        <f>AE155</f>
        <v>728.92</v>
      </c>
      <c r="AF131" s="66"/>
      <c r="AG131" s="66">
        <f>AG155</f>
        <v>0</v>
      </c>
      <c r="AH131" s="66"/>
      <c r="AI131" s="191">
        <f t="shared" si="27"/>
        <v>791.63</v>
      </c>
      <c r="AJ131" s="193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</row>
    <row r="132" spans="1:250" ht="19.5" hidden="1" customHeight="1">
      <c r="A132" s="296"/>
      <c r="B132" s="287" t="s">
        <v>66</v>
      </c>
      <c r="C132" s="114"/>
      <c r="D132" s="25" t="s">
        <v>63</v>
      </c>
      <c r="E132" s="127" t="e">
        <f>E133+E134+0.01</f>
        <v>#REF!</v>
      </c>
      <c r="F132" s="127" t="e">
        <f>F133+F134</f>
        <v>#REF!</v>
      </c>
      <c r="G132" s="127" t="e">
        <f>G133+G134</f>
        <v>#REF!</v>
      </c>
      <c r="H132" s="127" t="e">
        <f>H133+H134</f>
        <v>#REF!</v>
      </c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 t="e">
        <f>Y133+Y134</f>
        <v>#REF!</v>
      </c>
      <c r="Z132" s="127"/>
      <c r="AA132" s="127"/>
      <c r="AB132" s="127"/>
      <c r="AC132" s="127"/>
      <c r="AD132" s="127"/>
      <c r="AE132" s="127" t="e">
        <f>AE133+AE134</f>
        <v>#REF!</v>
      </c>
      <c r="AF132" s="127"/>
      <c r="AG132" s="127" t="e">
        <f>AG133+AG134</f>
        <v>#REF!</v>
      </c>
      <c r="AH132" s="127"/>
      <c r="AI132" s="191" t="e">
        <f t="shared" si="27"/>
        <v>#REF!</v>
      </c>
      <c r="AJ132" s="193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</row>
    <row r="133" spans="1:250" ht="19.5" hidden="1" customHeight="1">
      <c r="A133" s="296"/>
      <c r="B133" s="287"/>
      <c r="C133" s="114"/>
      <c r="D133" s="38" t="s">
        <v>14</v>
      </c>
      <c r="E133" s="18" t="e">
        <f>#REF!+F133+G133+H133+Y133+AE133+AG133</f>
        <v>#REF!</v>
      </c>
      <c r="F133" s="18" t="e">
        <f>F64+F90</f>
        <v>#REF!</v>
      </c>
      <c r="G133" s="18" t="e">
        <f>G64+G90</f>
        <v>#REF!</v>
      </c>
      <c r="H133" s="18" t="e">
        <f>H64+H90</f>
        <v>#REF!</v>
      </c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 t="e">
        <f>Y64+Y90</f>
        <v>#REF!</v>
      </c>
      <c r="Z133" s="18"/>
      <c r="AA133" s="18"/>
      <c r="AB133" s="18"/>
      <c r="AC133" s="18"/>
      <c r="AD133" s="18"/>
      <c r="AE133" s="18" t="e">
        <f>AE64+AE90</f>
        <v>#REF!</v>
      </c>
      <c r="AF133" s="18"/>
      <c r="AG133" s="18" t="e">
        <f>AG64+AG90</f>
        <v>#REF!</v>
      </c>
      <c r="AH133" s="18"/>
      <c r="AI133" s="191" t="e">
        <f t="shared" si="27"/>
        <v>#REF!</v>
      </c>
      <c r="AJ133" s="193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</row>
    <row r="134" spans="1:250" ht="18.75" hidden="1" customHeight="1" thickBot="1">
      <c r="A134" s="296"/>
      <c r="B134" s="287"/>
      <c r="C134" s="114"/>
      <c r="D134" s="38" t="s">
        <v>15</v>
      </c>
      <c r="E134" s="66" t="e">
        <f>#REF!+F134+G134+H134+Y134+AE134+AG134+0.01</f>
        <v>#REF!</v>
      </c>
      <c r="F134" s="66" t="e">
        <f>F65+F77+F91+F100+F101+F102+F103+F104+F105</f>
        <v>#REF!</v>
      </c>
      <c r="G134" s="66" t="e">
        <f>G65+G77+G91+G100+G101+G102+G103+G104+G105</f>
        <v>#REF!</v>
      </c>
      <c r="H134" s="66" t="e">
        <f>H65+H77+H91+H100+H101+H102+H103+H104+H105+0.01</f>
        <v>#REF!</v>
      </c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 t="e">
        <f>Y65+Y77+Y91+Y100+Y101+Y102+Y103+Y104+Y105</f>
        <v>#REF!</v>
      </c>
      <c r="Z134" s="66"/>
      <c r="AA134" s="66"/>
      <c r="AB134" s="66"/>
      <c r="AC134" s="66"/>
      <c r="AD134" s="66"/>
      <c r="AE134" s="66" t="e">
        <f>AE65+AE77+AE91+AE100+AE101+AE102+AE103+AE104+AE105</f>
        <v>#REF!</v>
      </c>
      <c r="AF134" s="66"/>
      <c r="AG134" s="66" t="e">
        <f>AG65+AG77+AG91+AG100+AG101+AG102+AG103+AG104+AG105-0.01</f>
        <v>#REF!</v>
      </c>
      <c r="AH134" s="66"/>
      <c r="AI134" s="191" t="e">
        <f t="shared" si="27"/>
        <v>#REF!</v>
      </c>
      <c r="AJ134" s="193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</row>
    <row r="135" spans="1:250" ht="17.25" hidden="1" customHeight="1">
      <c r="A135" s="296"/>
      <c r="B135" s="287" t="s">
        <v>67</v>
      </c>
      <c r="C135" s="114"/>
      <c r="D135" s="25" t="s">
        <v>63</v>
      </c>
      <c r="E135" s="127" t="e">
        <f>E136+E137</f>
        <v>#REF!</v>
      </c>
      <c r="F135" s="127">
        <f>F136+F137</f>
        <v>3200</v>
      </c>
      <c r="G135" s="127">
        <f>G136+G137</f>
        <v>0</v>
      </c>
      <c r="H135" s="127">
        <f>H136+H137</f>
        <v>7800</v>
      </c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>
        <f>Y136+Y137</f>
        <v>4400</v>
      </c>
      <c r="Z135" s="127"/>
      <c r="AA135" s="127"/>
      <c r="AB135" s="127"/>
      <c r="AC135" s="127"/>
      <c r="AD135" s="127"/>
      <c r="AE135" s="127">
        <f>AE136+AE137</f>
        <v>0</v>
      </c>
      <c r="AF135" s="127"/>
      <c r="AG135" s="127">
        <f>AG136+AG137</f>
        <v>0</v>
      </c>
      <c r="AH135" s="127"/>
      <c r="AI135" s="191">
        <f t="shared" si="27"/>
        <v>4400</v>
      </c>
      <c r="AJ135" s="193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</row>
    <row r="136" spans="1:250" ht="18" hidden="1" customHeight="1">
      <c r="A136" s="296"/>
      <c r="B136" s="287"/>
      <c r="C136" s="114"/>
      <c r="D136" s="38" t="s">
        <v>14</v>
      </c>
      <c r="E136" s="18" t="e">
        <f>#REF!+F136+G136+H136+Y136+AE136+AG136</f>
        <v>#REF!</v>
      </c>
      <c r="F136" s="18">
        <f>F93+F95+F97</f>
        <v>0</v>
      </c>
      <c r="G136" s="18">
        <f>G93+G95+G97</f>
        <v>0</v>
      </c>
      <c r="H136" s="18">
        <f>H93+H95+H97</f>
        <v>0</v>
      </c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>
        <f>Y93+Y95+Y97</f>
        <v>0</v>
      </c>
      <c r="Z136" s="18"/>
      <c r="AA136" s="18"/>
      <c r="AB136" s="18"/>
      <c r="AC136" s="18"/>
      <c r="AD136" s="18"/>
      <c r="AE136" s="18">
        <f>AE93+AE95+AE97</f>
        <v>0</v>
      </c>
      <c r="AF136" s="18"/>
      <c r="AG136" s="18">
        <f>AG93+AG95+AG97</f>
        <v>0</v>
      </c>
      <c r="AH136" s="18"/>
      <c r="AI136" s="191">
        <f t="shared" si="27"/>
        <v>0</v>
      </c>
      <c r="AJ136" s="193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</row>
    <row r="137" spans="1:250" ht="19.5" hidden="1" customHeight="1" thickBot="1">
      <c r="A137" s="296"/>
      <c r="B137" s="287"/>
      <c r="C137" s="114"/>
      <c r="D137" s="38" t="s">
        <v>15</v>
      </c>
      <c r="E137" s="66" t="e">
        <f>#REF!+F137+G137+H137+Y137+AE137+AG137</f>
        <v>#REF!</v>
      </c>
      <c r="F137" s="66">
        <f>F94+F96+F98+F99</f>
        <v>3200</v>
      </c>
      <c r="G137" s="66">
        <f>G94+G96+G98+G99</f>
        <v>0</v>
      </c>
      <c r="H137" s="66">
        <f>H94+H96+H98+H99</f>
        <v>7800</v>
      </c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>
        <f>Y94+Y96+Y98+Y99</f>
        <v>4400</v>
      </c>
      <c r="Z137" s="66"/>
      <c r="AA137" s="66"/>
      <c r="AB137" s="66"/>
      <c r="AC137" s="66"/>
      <c r="AD137" s="66"/>
      <c r="AE137" s="66">
        <f>AE94+AE96+AE98+AE99</f>
        <v>0</v>
      </c>
      <c r="AF137" s="66"/>
      <c r="AG137" s="66">
        <f>AG94+AG96+AG98+AG99</f>
        <v>0</v>
      </c>
      <c r="AH137" s="66"/>
      <c r="AI137" s="191">
        <f t="shared" si="27"/>
        <v>4400</v>
      </c>
      <c r="AJ137" s="193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</row>
    <row r="138" spans="1:250" ht="21" customHeight="1">
      <c r="A138" s="264" t="s">
        <v>152</v>
      </c>
      <c r="B138" s="295" t="s">
        <v>114</v>
      </c>
      <c r="C138" s="294" t="s">
        <v>13</v>
      </c>
      <c r="D138" s="41" t="s">
        <v>89</v>
      </c>
      <c r="E138" s="237">
        <f>E139+E140</f>
        <v>23667.5</v>
      </c>
      <c r="F138" s="159">
        <f t="shared" ref="F138:F152" si="32">I138+K138+M138+Q138+S138+U138+W138+Y138+AA138+AC138+AE138+AG138</f>
        <v>23667.5</v>
      </c>
      <c r="G138" s="171">
        <f t="shared" ref="G138:N138" si="33">G139+G140</f>
        <v>3829.663</v>
      </c>
      <c r="H138" s="36">
        <f t="shared" si="33"/>
        <v>16.180750380260267</v>
      </c>
      <c r="I138" s="171">
        <f t="shared" si="33"/>
        <v>0</v>
      </c>
      <c r="J138" s="171">
        <f t="shared" si="33"/>
        <v>0</v>
      </c>
      <c r="K138" s="171">
        <f t="shared" si="33"/>
        <v>0</v>
      </c>
      <c r="L138" s="171">
        <f t="shared" si="33"/>
        <v>0</v>
      </c>
      <c r="M138" s="171">
        <f t="shared" si="33"/>
        <v>0</v>
      </c>
      <c r="N138" s="171">
        <f t="shared" si="33"/>
        <v>0</v>
      </c>
      <c r="O138" s="159">
        <f>I138+K138+M138</f>
        <v>0</v>
      </c>
      <c r="P138" s="159">
        <f>J138+L138+N138</f>
        <v>0</v>
      </c>
      <c r="Q138" s="171">
        <f>Q139+Q140</f>
        <v>0</v>
      </c>
      <c r="R138" s="159">
        <f>R139+R140</f>
        <v>0</v>
      </c>
      <c r="S138" s="171">
        <f>S139+S140</f>
        <v>0</v>
      </c>
      <c r="T138" s="171"/>
      <c r="U138" s="171">
        <f>U139+U140</f>
        <v>0</v>
      </c>
      <c r="V138" s="171"/>
      <c r="W138" s="171">
        <f>W139+W140</f>
        <v>0</v>
      </c>
      <c r="X138" s="171"/>
      <c r="Y138" s="171">
        <f>Y139+Y140</f>
        <v>1254.19</v>
      </c>
      <c r="Z138" s="171">
        <f>Z139+Z140</f>
        <v>1254.19</v>
      </c>
      <c r="AA138" s="171">
        <f>AA139+AA140</f>
        <v>2575.46</v>
      </c>
      <c r="AB138" s="171">
        <f>AB139+AB140</f>
        <v>2575.473</v>
      </c>
      <c r="AC138" s="171">
        <f t="shared" ref="AC138:AH138" si="34">AC139+AC140</f>
        <v>5263</v>
      </c>
      <c r="AD138" s="159">
        <f t="shared" si="34"/>
        <v>0</v>
      </c>
      <c r="AE138" s="171">
        <f t="shared" si="34"/>
        <v>14574.85</v>
      </c>
      <c r="AF138" s="171">
        <f t="shared" si="34"/>
        <v>0</v>
      </c>
      <c r="AG138" s="171">
        <f t="shared" si="34"/>
        <v>0</v>
      </c>
      <c r="AH138" s="171">
        <f t="shared" si="34"/>
        <v>0</v>
      </c>
      <c r="AI138" s="191">
        <f t="shared" si="27"/>
        <v>23667.5</v>
      </c>
      <c r="AJ138" s="192"/>
    </row>
    <row r="139" spans="1:250" ht="18" customHeight="1">
      <c r="A139" s="264"/>
      <c r="B139" s="295"/>
      <c r="C139" s="294"/>
      <c r="D139" s="40" t="s">
        <v>88</v>
      </c>
      <c r="E139" s="172">
        <f>I139+K139+M139+Q139+S139+U139+W139+Y139+AA139+AC139+AE139+AG139</f>
        <v>22484.1</v>
      </c>
      <c r="F139" s="161">
        <f t="shared" si="32"/>
        <v>22484.1</v>
      </c>
      <c r="G139" s="173">
        <f>P139+R139+T139+V139+X139+Z139+AB139+AD139+AF139+AH139</f>
        <v>3638.18</v>
      </c>
      <c r="H139" s="35">
        <v>0</v>
      </c>
      <c r="I139" s="177">
        <v>0</v>
      </c>
      <c r="J139" s="177">
        <v>0</v>
      </c>
      <c r="K139" s="177">
        <v>0</v>
      </c>
      <c r="L139" s="177">
        <v>0</v>
      </c>
      <c r="M139" s="177">
        <v>0</v>
      </c>
      <c r="N139" s="177">
        <v>0</v>
      </c>
      <c r="O139" s="183"/>
      <c r="P139" s="183"/>
      <c r="Q139" s="177">
        <v>0</v>
      </c>
      <c r="R139" s="177">
        <v>0</v>
      </c>
      <c r="S139" s="177">
        <v>0</v>
      </c>
      <c r="T139" s="177">
        <v>0</v>
      </c>
      <c r="U139" s="177">
        <v>0</v>
      </c>
      <c r="V139" s="177">
        <v>0</v>
      </c>
      <c r="W139" s="177"/>
      <c r="X139" s="177">
        <v>0</v>
      </c>
      <c r="Y139" s="177">
        <v>1191.48</v>
      </c>
      <c r="Z139" s="177">
        <v>1191.48</v>
      </c>
      <c r="AA139" s="177">
        <v>2446.69</v>
      </c>
      <c r="AB139" s="177">
        <v>2446.6999999999998</v>
      </c>
      <c r="AC139" s="177">
        <v>5000</v>
      </c>
      <c r="AD139" s="177">
        <v>0</v>
      </c>
      <c r="AE139" s="177">
        <v>13845.93</v>
      </c>
      <c r="AF139" s="177">
        <v>0</v>
      </c>
      <c r="AG139" s="177">
        <v>0</v>
      </c>
      <c r="AH139" s="177">
        <v>0</v>
      </c>
      <c r="AI139" s="191">
        <f t="shared" si="27"/>
        <v>22484.1</v>
      </c>
      <c r="AJ139" s="192"/>
    </row>
    <row r="140" spans="1:250" ht="18" customHeight="1">
      <c r="A140" s="264"/>
      <c r="B140" s="295"/>
      <c r="C140" s="294"/>
      <c r="D140" s="40" t="s">
        <v>15</v>
      </c>
      <c r="E140" s="100">
        <f>I140+K140+M140+Q140+S140+U140+W140+Y140+AA140+AC140+AE140+AG140</f>
        <v>1183.4000000000001</v>
      </c>
      <c r="F140" s="162">
        <f t="shared" si="32"/>
        <v>1183.4000000000001</v>
      </c>
      <c r="G140" s="233">
        <f>J140+L140+N140+R140+T140+V140+X140+Z140+AB140+AD140+AF140+AH140</f>
        <v>191.483</v>
      </c>
      <c r="H140" s="33">
        <f>G140/E140*100</f>
        <v>16.180750380260267</v>
      </c>
      <c r="I140" s="174"/>
      <c r="J140" s="174"/>
      <c r="K140" s="174"/>
      <c r="L140" s="174"/>
      <c r="M140" s="174"/>
      <c r="N140" s="174"/>
      <c r="O140" s="184"/>
      <c r="P140" s="184"/>
      <c r="Q140" s="174"/>
      <c r="R140" s="174"/>
      <c r="S140" s="174"/>
      <c r="T140" s="174"/>
      <c r="U140" s="189"/>
      <c r="V140" s="189"/>
      <c r="W140" s="174"/>
      <c r="X140" s="174"/>
      <c r="Y140" s="174">
        <v>62.71</v>
      </c>
      <c r="Z140" s="174">
        <v>62.71</v>
      </c>
      <c r="AA140" s="189">
        <v>128.77000000000001</v>
      </c>
      <c r="AB140" s="189">
        <v>128.773</v>
      </c>
      <c r="AC140" s="174">
        <v>263</v>
      </c>
      <c r="AD140" s="174"/>
      <c r="AE140" s="174">
        <v>728.92</v>
      </c>
      <c r="AF140" s="174">
        <v>0</v>
      </c>
      <c r="AG140" s="174">
        <v>0</v>
      </c>
      <c r="AH140" s="174">
        <v>0</v>
      </c>
      <c r="AI140" s="191">
        <f t="shared" si="27"/>
        <v>1183.4000000000001</v>
      </c>
      <c r="AJ140" s="192"/>
    </row>
    <row r="141" spans="1:250" ht="23.25" customHeight="1">
      <c r="A141" s="264" t="s">
        <v>153</v>
      </c>
      <c r="B141" s="273" t="s">
        <v>135</v>
      </c>
      <c r="C141" s="270" t="s">
        <v>16</v>
      </c>
      <c r="D141" s="41" t="s">
        <v>89</v>
      </c>
      <c r="E141" s="171">
        <f>E142+E143</f>
        <v>335.6</v>
      </c>
      <c r="F141" s="159">
        <f t="shared" si="32"/>
        <v>335.6</v>
      </c>
      <c r="G141" s="171">
        <f t="shared" ref="G141:N141" si="35">G142+G143</f>
        <v>0</v>
      </c>
      <c r="H141" s="36" t="e">
        <f t="shared" si="35"/>
        <v>#DIV/0!</v>
      </c>
      <c r="I141" s="171">
        <f t="shared" si="35"/>
        <v>0</v>
      </c>
      <c r="J141" s="171">
        <f t="shared" si="35"/>
        <v>0</v>
      </c>
      <c r="K141" s="171">
        <f t="shared" si="35"/>
        <v>0</v>
      </c>
      <c r="L141" s="171">
        <f t="shared" si="35"/>
        <v>0</v>
      </c>
      <c r="M141" s="171">
        <f t="shared" si="35"/>
        <v>0</v>
      </c>
      <c r="N141" s="171">
        <f t="shared" si="35"/>
        <v>0</v>
      </c>
      <c r="O141" s="159">
        <f>I141+K141+M141</f>
        <v>0</v>
      </c>
      <c r="P141" s="159">
        <f>J141+L141+N141</f>
        <v>0</v>
      </c>
      <c r="Q141" s="171">
        <f>Q142+Q143</f>
        <v>0</v>
      </c>
      <c r="R141" s="159">
        <f>R142+R143</f>
        <v>0</v>
      </c>
      <c r="S141" s="171">
        <f t="shared" ref="S141:AG141" si="36">S142+S143</f>
        <v>335.6</v>
      </c>
      <c r="T141" s="171">
        <f t="shared" si="36"/>
        <v>0</v>
      </c>
      <c r="U141" s="171">
        <f t="shared" si="36"/>
        <v>0</v>
      </c>
      <c r="V141" s="171">
        <f t="shared" si="36"/>
        <v>0</v>
      </c>
      <c r="W141" s="171">
        <f t="shared" si="36"/>
        <v>0</v>
      </c>
      <c r="X141" s="171">
        <f t="shared" si="36"/>
        <v>0</v>
      </c>
      <c r="Y141" s="171">
        <f t="shared" si="36"/>
        <v>0</v>
      </c>
      <c r="Z141" s="171">
        <f t="shared" si="36"/>
        <v>0</v>
      </c>
      <c r="AA141" s="171">
        <f t="shared" si="36"/>
        <v>0</v>
      </c>
      <c r="AB141" s="171">
        <f t="shared" si="36"/>
        <v>0</v>
      </c>
      <c r="AC141" s="171">
        <f t="shared" si="36"/>
        <v>0</v>
      </c>
      <c r="AD141" s="171">
        <f t="shared" si="36"/>
        <v>0</v>
      </c>
      <c r="AE141" s="171">
        <f t="shared" si="36"/>
        <v>0</v>
      </c>
      <c r="AF141" s="171">
        <f t="shared" si="36"/>
        <v>0</v>
      </c>
      <c r="AG141" s="171">
        <f t="shared" si="36"/>
        <v>0</v>
      </c>
      <c r="AH141" s="171">
        <f>AH142+AH143</f>
        <v>0</v>
      </c>
      <c r="AI141" s="191">
        <f>AA141+Y141+W141+U141+O141+Q141+S141+AC141+AE141+AG141</f>
        <v>335.6</v>
      </c>
      <c r="AJ141" s="192"/>
    </row>
    <row r="142" spans="1:250" ht="21" customHeight="1">
      <c r="A142" s="264"/>
      <c r="B142" s="273"/>
      <c r="C142" s="270"/>
      <c r="D142" s="40" t="s">
        <v>88</v>
      </c>
      <c r="E142" s="172">
        <f>I142+K142+M142+Q142+S142+U142+W142+Y142+AA142+AC142+AE142+AG142</f>
        <v>0</v>
      </c>
      <c r="F142" s="161">
        <f t="shared" si="32"/>
        <v>0</v>
      </c>
      <c r="G142" s="173">
        <f>P142+R142+T142+V142+X142+Z142+AB142+AD142+AF142+AH142</f>
        <v>0</v>
      </c>
      <c r="H142" s="35" t="e">
        <f>G142/E142*100</f>
        <v>#DIV/0!</v>
      </c>
      <c r="I142" s="177"/>
      <c r="J142" s="177"/>
      <c r="K142" s="177"/>
      <c r="L142" s="177"/>
      <c r="M142" s="177"/>
      <c r="N142" s="177"/>
      <c r="O142" s="183"/>
      <c r="P142" s="183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7">
        <v>0</v>
      </c>
      <c r="AF142" s="177">
        <v>0</v>
      </c>
      <c r="AG142" s="177">
        <v>0</v>
      </c>
      <c r="AH142" s="177">
        <v>0</v>
      </c>
      <c r="AI142" s="191">
        <f>AA142+Y142+W142+U142+O142+Q142+S142+AC142+AE142+AG142</f>
        <v>0</v>
      </c>
      <c r="AJ142" s="192"/>
    </row>
    <row r="143" spans="1:250" ht="21.75" customHeight="1">
      <c r="A143" s="264"/>
      <c r="B143" s="273"/>
      <c r="C143" s="270"/>
      <c r="D143" s="40" t="s">
        <v>15</v>
      </c>
      <c r="E143" s="100">
        <f>I143+K143+M143+Q143+S143+U143+W143+Y143+AA143+AC143+AE143+AG143</f>
        <v>335.6</v>
      </c>
      <c r="F143" s="162">
        <f t="shared" si="32"/>
        <v>335.6</v>
      </c>
      <c r="G143" s="181">
        <f>J143+L143+N143+R143+T143+V143+X143+Z143+AB143+AD143+AF143+AH143</f>
        <v>0</v>
      </c>
      <c r="H143" s="48">
        <f>G143/E143*100</f>
        <v>0</v>
      </c>
      <c r="I143" s="174"/>
      <c r="J143" s="174"/>
      <c r="K143" s="174"/>
      <c r="L143" s="174"/>
      <c r="M143" s="174"/>
      <c r="N143" s="174"/>
      <c r="O143" s="184"/>
      <c r="P143" s="184"/>
      <c r="Q143" s="174"/>
      <c r="R143" s="179"/>
      <c r="S143" s="179">
        <v>335.6</v>
      </c>
      <c r="T143" s="174"/>
      <c r="U143" s="189"/>
      <c r="V143" s="189"/>
      <c r="W143" s="174"/>
      <c r="X143" s="174"/>
      <c r="Y143" s="174"/>
      <c r="Z143" s="174"/>
      <c r="AA143" s="189"/>
      <c r="AB143" s="189"/>
      <c r="AC143" s="174"/>
      <c r="AD143" s="174"/>
      <c r="AE143" s="174">
        <v>0</v>
      </c>
      <c r="AF143" s="174">
        <v>0</v>
      </c>
      <c r="AG143" s="174">
        <v>0</v>
      </c>
      <c r="AH143" s="174">
        <v>0</v>
      </c>
      <c r="AI143" s="191">
        <f>AA143+Y143+W143+U143+O143+Q143+S143+AC143+AE143+AG143</f>
        <v>335.6</v>
      </c>
      <c r="AJ143" s="192"/>
    </row>
    <row r="144" spans="1:250" ht="21" customHeight="1">
      <c r="A144" s="264" t="s">
        <v>117</v>
      </c>
      <c r="B144" s="273" t="s">
        <v>110</v>
      </c>
      <c r="C144" s="270" t="s">
        <v>16</v>
      </c>
      <c r="D144" s="41" t="s">
        <v>89</v>
      </c>
      <c r="E144" s="171">
        <f>E145+E146</f>
        <v>1113.4099999999999</v>
      </c>
      <c r="F144" s="159">
        <f t="shared" si="32"/>
        <v>1113.4099999999999</v>
      </c>
      <c r="G144" s="171">
        <f t="shared" ref="G144:AH144" si="37">G145+G146</f>
        <v>516.81988999999999</v>
      </c>
      <c r="H144" s="36">
        <f t="shared" si="37"/>
        <v>0</v>
      </c>
      <c r="I144" s="171">
        <f t="shared" si="37"/>
        <v>0</v>
      </c>
      <c r="J144" s="171">
        <f t="shared" si="37"/>
        <v>0</v>
      </c>
      <c r="K144" s="171">
        <f t="shared" si="37"/>
        <v>294.19</v>
      </c>
      <c r="L144" s="171">
        <f>L145+L146</f>
        <v>294.19488999999999</v>
      </c>
      <c r="M144" s="171">
        <f t="shared" si="37"/>
        <v>0</v>
      </c>
      <c r="N144" s="171">
        <f t="shared" si="37"/>
        <v>0</v>
      </c>
      <c r="O144" s="159">
        <f>I144+K144+M144</f>
        <v>294.19</v>
      </c>
      <c r="P144" s="159">
        <f>J144+L144+N144</f>
        <v>294.19488999999999</v>
      </c>
      <c r="Q144" s="171">
        <f t="shared" si="37"/>
        <v>0</v>
      </c>
      <c r="R144" s="159">
        <f>R145+R146</f>
        <v>0</v>
      </c>
      <c r="S144" s="171">
        <f t="shared" si="37"/>
        <v>0</v>
      </c>
      <c r="T144" s="171">
        <f t="shared" si="37"/>
        <v>0</v>
      </c>
      <c r="U144" s="171">
        <f t="shared" si="37"/>
        <v>0</v>
      </c>
      <c r="V144" s="171">
        <f t="shared" si="37"/>
        <v>0</v>
      </c>
      <c r="W144" s="171">
        <f t="shared" si="37"/>
        <v>0</v>
      </c>
      <c r="X144" s="171">
        <f t="shared" si="37"/>
        <v>0</v>
      </c>
      <c r="Y144" s="171">
        <f t="shared" si="37"/>
        <v>0</v>
      </c>
      <c r="Z144" s="171">
        <f t="shared" si="37"/>
        <v>0</v>
      </c>
      <c r="AA144" s="171">
        <f t="shared" si="37"/>
        <v>222.6</v>
      </c>
      <c r="AB144" s="171">
        <f t="shared" si="37"/>
        <v>222.625</v>
      </c>
      <c r="AC144" s="171">
        <f t="shared" si="37"/>
        <v>596.62</v>
      </c>
      <c r="AD144" s="171">
        <f t="shared" si="37"/>
        <v>0</v>
      </c>
      <c r="AE144" s="171">
        <f t="shared" si="37"/>
        <v>0</v>
      </c>
      <c r="AF144" s="171">
        <f t="shared" si="37"/>
        <v>0</v>
      </c>
      <c r="AG144" s="171">
        <f t="shared" si="37"/>
        <v>0</v>
      </c>
      <c r="AH144" s="171">
        <f t="shared" si="37"/>
        <v>0</v>
      </c>
      <c r="AI144" s="191">
        <f t="shared" si="27"/>
        <v>1113.4099999999999</v>
      </c>
      <c r="AJ144" s="192"/>
    </row>
    <row r="145" spans="1:36" ht="20.25" customHeight="1">
      <c r="A145" s="264"/>
      <c r="B145" s="273"/>
      <c r="C145" s="270"/>
      <c r="D145" s="40" t="s">
        <v>88</v>
      </c>
      <c r="E145" s="172">
        <f>I145+K145+M145+Q145+S145+U145+W145+Y145+AA145+AC145+AE145+AG145</f>
        <v>0</v>
      </c>
      <c r="F145" s="161">
        <f t="shared" si="32"/>
        <v>0</v>
      </c>
      <c r="G145" s="173">
        <v>0</v>
      </c>
      <c r="H145" s="35"/>
      <c r="I145" s="177">
        <v>0</v>
      </c>
      <c r="J145" s="177">
        <v>0</v>
      </c>
      <c r="K145" s="177">
        <v>0</v>
      </c>
      <c r="L145" s="177">
        <v>0</v>
      </c>
      <c r="M145" s="177">
        <v>0</v>
      </c>
      <c r="N145" s="177">
        <v>0</v>
      </c>
      <c r="O145" s="183"/>
      <c r="P145" s="183"/>
      <c r="Q145" s="177">
        <v>0</v>
      </c>
      <c r="R145" s="177">
        <v>0</v>
      </c>
      <c r="S145" s="177">
        <v>0</v>
      </c>
      <c r="T145" s="177">
        <v>0</v>
      </c>
      <c r="U145" s="177">
        <v>0</v>
      </c>
      <c r="V145" s="177">
        <v>0</v>
      </c>
      <c r="W145" s="177">
        <v>0</v>
      </c>
      <c r="X145" s="177">
        <v>0</v>
      </c>
      <c r="Y145" s="177">
        <v>0</v>
      </c>
      <c r="Z145" s="177">
        <v>0</v>
      </c>
      <c r="AA145" s="177">
        <v>0</v>
      </c>
      <c r="AB145" s="177">
        <v>0</v>
      </c>
      <c r="AC145" s="177">
        <v>0</v>
      </c>
      <c r="AD145" s="177">
        <v>0</v>
      </c>
      <c r="AE145" s="177">
        <v>0</v>
      </c>
      <c r="AF145" s="177">
        <v>0</v>
      </c>
      <c r="AG145" s="177">
        <v>0</v>
      </c>
      <c r="AH145" s="177">
        <v>0</v>
      </c>
      <c r="AI145" s="191">
        <f t="shared" si="27"/>
        <v>0</v>
      </c>
      <c r="AJ145" s="192"/>
    </row>
    <row r="146" spans="1:36" ht="18.75" customHeight="1">
      <c r="A146" s="264"/>
      <c r="B146" s="273"/>
      <c r="C146" s="270"/>
      <c r="D146" s="40" t="s">
        <v>15</v>
      </c>
      <c r="E146" s="100">
        <f>I146+K146+M146+Q146+S146+U146+W146+Y146+AA146+AC146+AE146+AG146</f>
        <v>1113.4099999999999</v>
      </c>
      <c r="F146" s="162">
        <f t="shared" si="32"/>
        <v>1113.4099999999999</v>
      </c>
      <c r="G146" s="233">
        <f>J146+L146+N146+R146+T146+V146+X146+Z146+AB146+AD146+AF146+AH146</f>
        <v>516.81988999999999</v>
      </c>
      <c r="H146" s="33"/>
      <c r="I146" s="174"/>
      <c r="J146" s="174"/>
      <c r="K146" s="174">
        <v>294.19</v>
      </c>
      <c r="L146" s="174">
        <v>294.19488999999999</v>
      </c>
      <c r="M146" s="174"/>
      <c r="N146" s="174"/>
      <c r="O146" s="184"/>
      <c r="P146" s="184"/>
      <c r="Q146" s="174"/>
      <c r="R146" s="179"/>
      <c r="S146" s="174"/>
      <c r="T146" s="174"/>
      <c r="U146" s="238"/>
      <c r="V146" s="189"/>
      <c r="W146" s="174"/>
      <c r="X146" s="174"/>
      <c r="Y146" s="240"/>
      <c r="Z146" s="174"/>
      <c r="AA146" s="189">
        <v>222.6</v>
      </c>
      <c r="AB146" s="189">
        <v>222.625</v>
      </c>
      <c r="AC146" s="174">
        <v>596.62</v>
      </c>
      <c r="AD146" s="174"/>
      <c r="AE146" s="174">
        <v>0</v>
      </c>
      <c r="AF146" s="174">
        <v>0</v>
      </c>
      <c r="AG146" s="174">
        <v>0</v>
      </c>
      <c r="AH146" s="174">
        <v>0</v>
      </c>
      <c r="AI146" s="191">
        <f t="shared" si="27"/>
        <v>819.22</v>
      </c>
      <c r="AJ146" s="196">
        <f>E146-G146</f>
        <v>596.59010999999987</v>
      </c>
    </row>
    <row r="147" spans="1:36" ht="21" customHeight="1">
      <c r="A147" s="264" t="s">
        <v>118</v>
      </c>
      <c r="B147" s="273" t="s">
        <v>154</v>
      </c>
      <c r="C147" s="270" t="s">
        <v>16</v>
      </c>
      <c r="D147" s="41" t="s">
        <v>89</v>
      </c>
      <c r="E147" s="171">
        <f>E148+E149</f>
        <v>1204.46</v>
      </c>
      <c r="F147" s="159">
        <f t="shared" si="32"/>
        <v>1204.46</v>
      </c>
      <c r="G147" s="171">
        <f t="shared" ref="G147:AG147" si="38">G148+G149</f>
        <v>826.18101999999999</v>
      </c>
      <c r="H147" s="36">
        <f t="shared" si="38"/>
        <v>68.593479235508028</v>
      </c>
      <c r="I147" s="171">
        <f t="shared" si="38"/>
        <v>0</v>
      </c>
      <c r="J147" s="171">
        <f t="shared" si="38"/>
        <v>0</v>
      </c>
      <c r="K147" s="171">
        <f t="shared" si="38"/>
        <v>212.33</v>
      </c>
      <c r="L147" s="171">
        <f>L148+L149</f>
        <v>212.32902000000001</v>
      </c>
      <c r="M147" s="171">
        <f t="shared" si="38"/>
        <v>0</v>
      </c>
      <c r="N147" s="171">
        <f t="shared" si="38"/>
        <v>0</v>
      </c>
      <c r="O147" s="159">
        <f>I147+K147+M147</f>
        <v>212.33</v>
      </c>
      <c r="P147" s="159">
        <f>J147+L147+N147</f>
        <v>212.32902000000001</v>
      </c>
      <c r="Q147" s="171">
        <f t="shared" si="38"/>
        <v>0</v>
      </c>
      <c r="R147" s="159">
        <f>R148+R149</f>
        <v>0</v>
      </c>
      <c r="S147" s="171">
        <f t="shared" si="38"/>
        <v>0</v>
      </c>
      <c r="T147" s="171">
        <f t="shared" si="38"/>
        <v>0</v>
      </c>
      <c r="U147" s="171">
        <f t="shared" si="38"/>
        <v>0</v>
      </c>
      <c r="V147" s="171">
        <f>V148+V149</f>
        <v>0</v>
      </c>
      <c r="W147" s="171">
        <f t="shared" si="38"/>
        <v>0</v>
      </c>
      <c r="X147" s="171">
        <f t="shared" si="38"/>
        <v>0</v>
      </c>
      <c r="Y147" s="171">
        <f>Y148+Y149</f>
        <v>0</v>
      </c>
      <c r="Z147" s="171">
        <f>Z148+Z149</f>
        <v>0</v>
      </c>
      <c r="AA147" s="171">
        <f>AA148+AA149</f>
        <v>613.86</v>
      </c>
      <c r="AB147" s="171">
        <f>AB148+AB149</f>
        <v>613.85199999999998</v>
      </c>
      <c r="AC147" s="171">
        <f t="shared" si="38"/>
        <v>378.27</v>
      </c>
      <c r="AD147" s="171">
        <f t="shared" si="38"/>
        <v>0</v>
      </c>
      <c r="AE147" s="171">
        <f t="shared" si="38"/>
        <v>0</v>
      </c>
      <c r="AF147" s="171">
        <f t="shared" si="38"/>
        <v>0</v>
      </c>
      <c r="AG147" s="171">
        <f t="shared" si="38"/>
        <v>0</v>
      </c>
      <c r="AH147" s="171">
        <f>AH148+AH149</f>
        <v>0</v>
      </c>
      <c r="AI147" s="191">
        <f t="shared" si="27"/>
        <v>1204.46</v>
      </c>
      <c r="AJ147" s="196">
        <f>E149-G149</f>
        <v>378.27898000000005</v>
      </c>
    </row>
    <row r="148" spans="1:36" ht="20.25" customHeight="1">
      <c r="A148" s="264"/>
      <c r="B148" s="273"/>
      <c r="C148" s="270"/>
      <c r="D148" s="40" t="s">
        <v>88</v>
      </c>
      <c r="E148" s="172">
        <f>I148+K148+M148+Q148+S148+U148+W148+Y148+AA148+AC148+AE148+AG148</f>
        <v>0</v>
      </c>
      <c r="F148" s="161">
        <f t="shared" si="32"/>
        <v>0</v>
      </c>
      <c r="G148" s="173">
        <f>P148+R148+T148+V148+X148+Z148+AB148+AD148+AF148+AH148</f>
        <v>0</v>
      </c>
      <c r="H148" s="35">
        <v>0</v>
      </c>
      <c r="I148" s="177"/>
      <c r="J148" s="177"/>
      <c r="K148" s="177"/>
      <c r="L148" s="177"/>
      <c r="M148" s="177"/>
      <c r="N148" s="177"/>
      <c r="O148" s="183"/>
      <c r="P148" s="183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91">
        <f t="shared" si="27"/>
        <v>0</v>
      </c>
      <c r="AJ148" s="190" t="s">
        <v>144</v>
      </c>
    </row>
    <row r="149" spans="1:36" ht="15.75" customHeight="1">
      <c r="A149" s="264"/>
      <c r="B149" s="273"/>
      <c r="C149" s="270"/>
      <c r="D149" s="40" t="s">
        <v>15</v>
      </c>
      <c r="E149" s="100">
        <f>I149+K149+M149+Q149+S149+U149+W149+Y149+AA149+AC149+AE149+AG149</f>
        <v>1204.46</v>
      </c>
      <c r="F149" s="162">
        <f t="shared" si="32"/>
        <v>1204.46</v>
      </c>
      <c r="G149" s="233">
        <f>J149+L149+N149+R149+T149+V149+X149+Z149+AB149+AD149+AF149+AH149</f>
        <v>826.18101999999999</v>
      </c>
      <c r="H149" s="33">
        <f>G149/E149*100</f>
        <v>68.593479235508028</v>
      </c>
      <c r="I149" s="174"/>
      <c r="J149" s="174"/>
      <c r="K149" s="174">
        <v>212.33</v>
      </c>
      <c r="L149" s="174">
        <v>212.32902000000001</v>
      </c>
      <c r="M149" s="174"/>
      <c r="N149" s="174"/>
      <c r="O149" s="184"/>
      <c r="P149" s="184"/>
      <c r="Q149" s="174"/>
      <c r="R149" s="179"/>
      <c r="S149" s="174"/>
      <c r="T149" s="174"/>
      <c r="U149" s="238"/>
      <c r="V149" s="189"/>
      <c r="W149" s="174"/>
      <c r="X149" s="174"/>
      <c r="Y149" s="240"/>
      <c r="Z149" s="174"/>
      <c r="AA149" s="189">
        <v>613.86</v>
      </c>
      <c r="AB149" s="189">
        <v>613.85199999999998</v>
      </c>
      <c r="AC149" s="174">
        <v>378.27</v>
      </c>
      <c r="AD149" s="174"/>
      <c r="AE149" s="174"/>
      <c r="AF149" s="174"/>
      <c r="AG149" s="174"/>
      <c r="AH149" s="174"/>
      <c r="AI149" s="191">
        <f t="shared" si="27"/>
        <v>992.13</v>
      </c>
      <c r="AJ149" s="192"/>
    </row>
    <row r="150" spans="1:36" ht="21" customHeight="1">
      <c r="A150" s="264" t="s">
        <v>119</v>
      </c>
      <c r="B150" s="273" t="s">
        <v>138</v>
      </c>
      <c r="C150" s="270" t="s">
        <v>16</v>
      </c>
      <c r="D150" s="41" t="s">
        <v>89</v>
      </c>
      <c r="E150" s="171">
        <f>E151+E152</f>
        <v>2249.33</v>
      </c>
      <c r="F150" s="159">
        <f t="shared" si="32"/>
        <v>2249.33</v>
      </c>
      <c r="G150" s="171">
        <f t="shared" ref="G150:AH150" si="39">G151+G152</f>
        <v>2249.33</v>
      </c>
      <c r="H150" s="36">
        <f t="shared" si="39"/>
        <v>100</v>
      </c>
      <c r="I150" s="171">
        <f t="shared" si="39"/>
        <v>0</v>
      </c>
      <c r="J150" s="171">
        <f t="shared" si="39"/>
        <v>0</v>
      </c>
      <c r="K150" s="171">
        <f t="shared" si="39"/>
        <v>0</v>
      </c>
      <c r="L150" s="171">
        <f>L151+L152</f>
        <v>0</v>
      </c>
      <c r="M150" s="171">
        <f t="shared" si="39"/>
        <v>0</v>
      </c>
      <c r="N150" s="171">
        <f t="shared" si="39"/>
        <v>0</v>
      </c>
      <c r="O150" s="159">
        <f>I150+K150+M150</f>
        <v>0</v>
      </c>
      <c r="P150" s="159">
        <f>J150+L150+N150</f>
        <v>0</v>
      </c>
      <c r="Q150" s="171">
        <f t="shared" si="39"/>
        <v>0</v>
      </c>
      <c r="R150" s="159">
        <f>R151+R152</f>
        <v>0</v>
      </c>
      <c r="S150" s="171">
        <f t="shared" si="39"/>
        <v>0</v>
      </c>
      <c r="T150" s="171">
        <f t="shared" si="39"/>
        <v>0</v>
      </c>
      <c r="U150" s="171">
        <f t="shared" si="39"/>
        <v>0</v>
      </c>
      <c r="V150" s="171">
        <f t="shared" si="39"/>
        <v>0</v>
      </c>
      <c r="W150" s="171">
        <f t="shared" si="39"/>
        <v>0</v>
      </c>
      <c r="X150" s="171">
        <f t="shared" si="39"/>
        <v>0</v>
      </c>
      <c r="Y150" s="171">
        <f t="shared" si="39"/>
        <v>0</v>
      </c>
      <c r="Z150" s="171">
        <f t="shared" si="39"/>
        <v>0</v>
      </c>
      <c r="AA150" s="171">
        <f t="shared" si="39"/>
        <v>2249.33</v>
      </c>
      <c r="AB150" s="171">
        <f t="shared" si="39"/>
        <v>2249.33</v>
      </c>
      <c r="AC150" s="171">
        <f t="shared" si="39"/>
        <v>0</v>
      </c>
      <c r="AD150" s="171">
        <f>AD152</f>
        <v>0</v>
      </c>
      <c r="AE150" s="171">
        <f t="shared" si="39"/>
        <v>0</v>
      </c>
      <c r="AF150" s="171">
        <f t="shared" si="39"/>
        <v>0</v>
      </c>
      <c r="AG150" s="171">
        <f t="shared" si="39"/>
        <v>0</v>
      </c>
      <c r="AH150" s="171">
        <f t="shared" si="39"/>
        <v>0</v>
      </c>
      <c r="AI150" s="191">
        <f>AA150+Y150+W150+U150+O150+Q150+S150+AC150+AE150+AG150</f>
        <v>2249.33</v>
      </c>
      <c r="AJ150" s="192"/>
    </row>
    <row r="151" spans="1:36" ht="27" customHeight="1">
      <c r="A151" s="264"/>
      <c r="B151" s="273"/>
      <c r="C151" s="270"/>
      <c r="D151" s="40" t="s">
        <v>88</v>
      </c>
      <c r="E151" s="172">
        <f>I151+K151+M151+Q151+S151+U151+W151+Y151+AA151+AC151+AE151+AG151</f>
        <v>0</v>
      </c>
      <c r="F151" s="161">
        <f t="shared" si="32"/>
        <v>0</v>
      </c>
      <c r="G151" s="173">
        <f>P151+R151+T151+V151+X151+Z151+AB151+AD151+AF151+AH151</f>
        <v>0</v>
      </c>
      <c r="H151" s="35">
        <v>0</v>
      </c>
      <c r="I151" s="177"/>
      <c r="J151" s="177"/>
      <c r="K151" s="177"/>
      <c r="L151" s="177"/>
      <c r="M151" s="177"/>
      <c r="N151" s="177"/>
      <c r="O151" s="183"/>
      <c r="P151" s="183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91">
        <f>AA151+Y151+W151+U151+O151+Q151+S151+AC151+AE151+AG151</f>
        <v>0</v>
      </c>
      <c r="AJ151" s="192"/>
    </row>
    <row r="152" spans="1:36" ht="29.25" customHeight="1">
      <c r="A152" s="264"/>
      <c r="B152" s="273"/>
      <c r="C152" s="270"/>
      <c r="D152" s="40" t="s">
        <v>15</v>
      </c>
      <c r="E152" s="100">
        <f>I152+K152+M152+Q152+S152+U152+W152+Y152+AA152+AC152+AE152+AG152</f>
        <v>2249.33</v>
      </c>
      <c r="F152" s="162">
        <f t="shared" si="32"/>
        <v>2249.33</v>
      </c>
      <c r="G152" s="242">
        <f>J152+L152+N152+R152+T152+V152+X152+Z152+AB152+AD152+AF152+AH152</f>
        <v>2249.33</v>
      </c>
      <c r="H152" s="33">
        <f>G152/E152*100</f>
        <v>100</v>
      </c>
      <c r="I152" s="174"/>
      <c r="J152" s="174"/>
      <c r="K152" s="174"/>
      <c r="L152" s="174"/>
      <c r="M152" s="174"/>
      <c r="N152" s="174"/>
      <c r="O152" s="184"/>
      <c r="P152" s="184"/>
      <c r="Q152" s="174"/>
      <c r="R152" s="179"/>
      <c r="S152" s="174"/>
      <c r="T152" s="174"/>
      <c r="U152" s="189"/>
      <c r="V152" s="189"/>
      <c r="W152" s="174"/>
      <c r="X152" s="174"/>
      <c r="Y152" s="174"/>
      <c r="Z152" s="174"/>
      <c r="AA152" s="174">
        <v>2249.33</v>
      </c>
      <c r="AB152" s="241">
        <v>2249.33</v>
      </c>
      <c r="AC152" s="179"/>
      <c r="AD152" s="179"/>
      <c r="AE152" s="179"/>
      <c r="AF152" s="174"/>
      <c r="AG152" s="174"/>
      <c r="AH152" s="174"/>
      <c r="AI152" s="190"/>
    </row>
    <row r="153" spans="1:36" ht="18.75" customHeight="1">
      <c r="A153" s="248"/>
      <c r="B153" s="304" t="s">
        <v>173</v>
      </c>
      <c r="C153" s="304"/>
      <c r="D153" s="41" t="s">
        <v>89</v>
      </c>
      <c r="E153" s="159">
        <f>E154+E155</f>
        <v>29595.599999999999</v>
      </c>
      <c r="F153" s="159">
        <f>F154+F155</f>
        <v>29595.599999999999</v>
      </c>
      <c r="G153" s="159">
        <f>G154+G155</f>
        <v>7723.5799100000004</v>
      </c>
      <c r="H153" s="37" t="e">
        <f>H154+H155</f>
        <v>#REF!</v>
      </c>
      <c r="I153" s="159">
        <f>I154+I155</f>
        <v>0</v>
      </c>
      <c r="J153" s="159">
        <f t="shared" ref="J153:AH153" si="40">J154+J155</f>
        <v>0</v>
      </c>
      <c r="K153" s="159">
        <f t="shared" si="40"/>
        <v>506.52</v>
      </c>
      <c r="L153" s="159">
        <f t="shared" si="40"/>
        <v>506.52391</v>
      </c>
      <c r="M153" s="159">
        <f t="shared" si="40"/>
        <v>302</v>
      </c>
      <c r="N153" s="159">
        <f t="shared" si="40"/>
        <v>301.58600000000001</v>
      </c>
      <c r="O153" s="159">
        <f t="shared" si="40"/>
        <v>0</v>
      </c>
      <c r="P153" s="159">
        <f t="shared" si="40"/>
        <v>0</v>
      </c>
      <c r="Q153" s="159">
        <f t="shared" si="40"/>
        <v>0</v>
      </c>
      <c r="R153" s="159">
        <f t="shared" si="40"/>
        <v>0</v>
      </c>
      <c r="S153" s="159">
        <f t="shared" si="40"/>
        <v>335.6</v>
      </c>
      <c r="T153" s="159">
        <f t="shared" si="40"/>
        <v>0</v>
      </c>
      <c r="U153" s="159">
        <f t="shared" si="40"/>
        <v>723.3</v>
      </c>
      <c r="V153" s="159">
        <f t="shared" si="40"/>
        <v>0</v>
      </c>
      <c r="W153" s="159">
        <f t="shared" si="40"/>
        <v>0</v>
      </c>
      <c r="X153" s="159">
        <f t="shared" si="40"/>
        <v>0</v>
      </c>
      <c r="Y153" s="159">
        <f t="shared" si="40"/>
        <v>1254.19</v>
      </c>
      <c r="Z153" s="159">
        <f t="shared" si="40"/>
        <v>1254.19</v>
      </c>
      <c r="AA153" s="159">
        <f t="shared" si="40"/>
        <v>5661.25</v>
      </c>
      <c r="AB153" s="159">
        <f t="shared" si="40"/>
        <v>5661.28</v>
      </c>
      <c r="AC153" s="159">
        <f t="shared" si="40"/>
        <v>6237.8899999999994</v>
      </c>
      <c r="AD153" s="159">
        <f t="shared" si="40"/>
        <v>0</v>
      </c>
      <c r="AE153" s="159">
        <f t="shared" si="40"/>
        <v>14574.85</v>
      </c>
      <c r="AF153" s="159">
        <f t="shared" si="40"/>
        <v>0</v>
      </c>
      <c r="AG153" s="159">
        <f t="shared" si="40"/>
        <v>0</v>
      </c>
      <c r="AH153" s="159">
        <f t="shared" si="40"/>
        <v>0</v>
      </c>
    </row>
    <row r="154" spans="1:36" ht="21">
      <c r="A154" s="248"/>
      <c r="B154" s="304"/>
      <c r="C154" s="304"/>
      <c r="D154" s="40" t="s">
        <v>88</v>
      </c>
      <c r="E154" s="172">
        <f t="shared" ref="E154:G155" si="41">E151+E148+E145+E142+E139+E60</f>
        <v>22484.1</v>
      </c>
      <c r="F154" s="161">
        <f t="shared" si="41"/>
        <v>22484.1</v>
      </c>
      <c r="G154" s="161">
        <f t="shared" si="41"/>
        <v>3638.18</v>
      </c>
      <c r="H154" s="34" t="e">
        <f>H55+#REF!+#REF!+H60+#REF!+H145+H148+H151+#REF!</f>
        <v>#REF!</v>
      </c>
      <c r="I154" s="161">
        <f>I151+I148+I145+I142+I139+I60</f>
        <v>0</v>
      </c>
      <c r="J154" s="161">
        <f t="shared" ref="J154:AH154" si="42">J151+J148+J145+J142+J139+J60</f>
        <v>0</v>
      </c>
      <c r="K154" s="161">
        <f t="shared" si="42"/>
        <v>0</v>
      </c>
      <c r="L154" s="161">
        <f t="shared" si="42"/>
        <v>0</v>
      </c>
      <c r="M154" s="161">
        <f t="shared" si="42"/>
        <v>0</v>
      </c>
      <c r="N154" s="161">
        <f t="shared" si="42"/>
        <v>0</v>
      </c>
      <c r="O154" s="161">
        <f t="shared" si="42"/>
        <v>0</v>
      </c>
      <c r="P154" s="161">
        <f t="shared" si="42"/>
        <v>0</v>
      </c>
      <c r="Q154" s="161">
        <f t="shared" si="42"/>
        <v>0</v>
      </c>
      <c r="R154" s="161">
        <f t="shared" si="42"/>
        <v>0</v>
      </c>
      <c r="S154" s="161">
        <f t="shared" si="42"/>
        <v>0</v>
      </c>
      <c r="T154" s="161">
        <f t="shared" si="42"/>
        <v>0</v>
      </c>
      <c r="U154" s="161">
        <f t="shared" si="42"/>
        <v>0</v>
      </c>
      <c r="V154" s="161">
        <f t="shared" si="42"/>
        <v>0</v>
      </c>
      <c r="W154" s="161">
        <f t="shared" si="42"/>
        <v>0</v>
      </c>
      <c r="X154" s="161">
        <f t="shared" si="42"/>
        <v>0</v>
      </c>
      <c r="Y154" s="161">
        <f t="shared" si="42"/>
        <v>1191.48</v>
      </c>
      <c r="Z154" s="161">
        <f>Z151+Z148+Z145+Z142+Z139+Z60</f>
        <v>1191.48</v>
      </c>
      <c r="AA154" s="161">
        <f t="shared" si="42"/>
        <v>2446.69</v>
      </c>
      <c r="AB154" s="161">
        <f t="shared" si="42"/>
        <v>2446.6999999999998</v>
      </c>
      <c r="AC154" s="161">
        <f t="shared" si="42"/>
        <v>5000</v>
      </c>
      <c r="AD154" s="161">
        <f t="shared" si="42"/>
        <v>0</v>
      </c>
      <c r="AE154" s="161">
        <f t="shared" si="42"/>
        <v>13845.93</v>
      </c>
      <c r="AF154" s="161">
        <f t="shared" si="42"/>
        <v>0</v>
      </c>
      <c r="AG154" s="161">
        <f t="shared" si="42"/>
        <v>0</v>
      </c>
      <c r="AH154" s="161">
        <f t="shared" si="42"/>
        <v>0</v>
      </c>
    </row>
    <row r="155" spans="1:36" ht="18" customHeight="1">
      <c r="A155" s="248"/>
      <c r="B155" s="304"/>
      <c r="C155" s="304"/>
      <c r="D155" s="40" t="s">
        <v>15</v>
      </c>
      <c r="E155" s="162">
        <f t="shared" si="41"/>
        <v>7111.5000000000009</v>
      </c>
      <c r="F155" s="162">
        <f t="shared" si="41"/>
        <v>7111.5000000000009</v>
      </c>
      <c r="G155" s="181">
        <f>J155+L155+N155+R155+T155+V155+X155+Z155+AB155+AD155+AF155+AH155</f>
        <v>4085.3999100000001</v>
      </c>
      <c r="H155" s="26" t="e">
        <f>H56+#REF!+#REF!+H61+#REF!+H146+H149+H152+#REF!</f>
        <v>#REF!</v>
      </c>
      <c r="I155" s="162">
        <f>I152+I149+I146+I143+I140+I61</f>
        <v>0</v>
      </c>
      <c r="J155" s="162">
        <f t="shared" ref="J155:AH155" si="43">J152+J149+J146+J143+J140+J61</f>
        <v>0</v>
      </c>
      <c r="K155" s="162">
        <f t="shared" si="43"/>
        <v>506.52</v>
      </c>
      <c r="L155" s="162">
        <f t="shared" si="43"/>
        <v>506.52391</v>
      </c>
      <c r="M155" s="162">
        <f t="shared" si="43"/>
        <v>302</v>
      </c>
      <c r="N155" s="162">
        <f t="shared" si="43"/>
        <v>301.58600000000001</v>
      </c>
      <c r="O155" s="162">
        <f t="shared" si="43"/>
        <v>0</v>
      </c>
      <c r="P155" s="162">
        <f t="shared" si="43"/>
        <v>0</v>
      </c>
      <c r="Q155" s="162">
        <f t="shared" si="43"/>
        <v>0</v>
      </c>
      <c r="R155" s="162">
        <f t="shared" si="43"/>
        <v>0</v>
      </c>
      <c r="S155" s="162">
        <f t="shared" si="43"/>
        <v>335.6</v>
      </c>
      <c r="T155" s="162">
        <f t="shared" si="43"/>
        <v>0</v>
      </c>
      <c r="U155" s="162">
        <f t="shared" si="43"/>
        <v>723.3</v>
      </c>
      <c r="V155" s="162">
        <f t="shared" si="43"/>
        <v>0</v>
      </c>
      <c r="W155" s="162">
        <f t="shared" si="43"/>
        <v>0</v>
      </c>
      <c r="X155" s="162">
        <f t="shared" si="43"/>
        <v>0</v>
      </c>
      <c r="Y155" s="162">
        <f t="shared" si="43"/>
        <v>62.71</v>
      </c>
      <c r="Z155" s="162">
        <f>Z152+Z149+Z146+Z143+Z140+Z61</f>
        <v>62.71</v>
      </c>
      <c r="AA155" s="162">
        <f t="shared" si="43"/>
        <v>3214.56</v>
      </c>
      <c r="AB155" s="162">
        <f t="shared" si="43"/>
        <v>3214.58</v>
      </c>
      <c r="AC155" s="162">
        <f t="shared" si="43"/>
        <v>1237.8899999999999</v>
      </c>
      <c r="AD155" s="162">
        <f t="shared" si="43"/>
        <v>0</v>
      </c>
      <c r="AE155" s="162">
        <f t="shared" si="43"/>
        <v>728.92</v>
      </c>
      <c r="AF155" s="162">
        <f t="shared" si="43"/>
        <v>0</v>
      </c>
      <c r="AG155" s="162">
        <f t="shared" si="43"/>
        <v>0</v>
      </c>
      <c r="AH155" s="162">
        <f t="shared" si="43"/>
        <v>0</v>
      </c>
    </row>
    <row r="156" spans="1:36" s="2" customFormat="1" ht="56.25" customHeight="1">
      <c r="A156" s="50" t="s">
        <v>129</v>
      </c>
      <c r="B156" s="302" t="s">
        <v>155</v>
      </c>
      <c r="C156" s="303"/>
      <c r="D156" s="40" t="s">
        <v>15</v>
      </c>
      <c r="E156" s="198">
        <f>E157+E158</f>
        <v>74848.420000000013</v>
      </c>
      <c r="F156" s="197"/>
      <c r="G156" s="232">
        <f>J156+L156+N156+R156+T156+V156+X156+Z156+AB156+AD156+AF156+AH156</f>
        <v>50724.576249999998</v>
      </c>
      <c r="H156" s="197"/>
      <c r="I156" s="198">
        <f t="shared" ref="I156:AH156" si="44">I157+I158</f>
        <v>10168.84</v>
      </c>
      <c r="J156" s="198">
        <f t="shared" si="44"/>
        <v>10168.84</v>
      </c>
      <c r="K156" s="198">
        <f t="shared" si="44"/>
        <v>120.19</v>
      </c>
      <c r="L156" s="198">
        <f t="shared" si="44"/>
        <v>120.19405999999999</v>
      </c>
      <c r="M156" s="198">
        <f t="shared" si="44"/>
        <v>6546.63</v>
      </c>
      <c r="N156" s="198">
        <f t="shared" si="44"/>
        <v>6546.63</v>
      </c>
      <c r="O156" s="198">
        <f t="shared" si="44"/>
        <v>16835.66</v>
      </c>
      <c r="P156" s="198">
        <f t="shared" si="44"/>
        <v>16835.664060000003</v>
      </c>
      <c r="Q156" s="198">
        <f t="shared" si="44"/>
        <v>7006.08</v>
      </c>
      <c r="R156" s="198">
        <f t="shared" si="44"/>
        <v>7006.0764399999998</v>
      </c>
      <c r="S156" s="198">
        <f t="shared" si="44"/>
        <v>5942</v>
      </c>
      <c r="T156" s="198">
        <f t="shared" si="44"/>
        <v>5942.01775</v>
      </c>
      <c r="U156" s="198">
        <f t="shared" si="44"/>
        <v>3674.0899999999997</v>
      </c>
      <c r="V156" s="198">
        <f t="shared" si="44"/>
        <v>3674.0909999999999</v>
      </c>
      <c r="W156" s="198">
        <f t="shared" si="44"/>
        <v>9853.91</v>
      </c>
      <c r="X156" s="198">
        <f t="shared" si="44"/>
        <v>9853.9069999999992</v>
      </c>
      <c r="Y156" s="198">
        <f t="shared" si="44"/>
        <v>2566.4899999999998</v>
      </c>
      <c r="Z156" s="198">
        <f t="shared" si="44"/>
        <v>2566.491</v>
      </c>
      <c r="AA156" s="198">
        <f t="shared" si="44"/>
        <v>4846.3</v>
      </c>
      <c r="AB156" s="198">
        <f t="shared" si="44"/>
        <v>4846.3289999999997</v>
      </c>
      <c r="AC156" s="198">
        <f t="shared" si="44"/>
        <v>2854</v>
      </c>
      <c r="AD156" s="198">
        <f t="shared" si="44"/>
        <v>0</v>
      </c>
      <c r="AE156" s="198">
        <f t="shared" si="44"/>
        <v>6956</v>
      </c>
      <c r="AF156" s="198">
        <f t="shared" si="44"/>
        <v>0</v>
      </c>
      <c r="AG156" s="198">
        <f t="shared" si="44"/>
        <v>14313.890000000001</v>
      </c>
      <c r="AH156" s="198">
        <f t="shared" si="44"/>
        <v>0</v>
      </c>
    </row>
    <row r="157" spans="1:36" ht="39" customHeight="1">
      <c r="A157" s="51" t="s">
        <v>21</v>
      </c>
      <c r="B157" s="52" t="s">
        <v>81</v>
      </c>
      <c r="C157" s="85" t="s">
        <v>16</v>
      </c>
      <c r="D157" s="40" t="s">
        <v>15</v>
      </c>
      <c r="E157" s="235">
        <f>I157+K157+M157+Q157+S157+U157+W157+Y157+AA157+AC157+AE157+AG157</f>
        <v>4439.0999999999995</v>
      </c>
      <c r="F157" s="162">
        <f>I157+K157+M157+Q157+S157+U157+W157+Y157+AA157+AC157+AE157+AG157</f>
        <v>4439.0999999999995</v>
      </c>
      <c r="G157" s="227">
        <f>J157+L157+N157+R157+T157+V157+X157+Z157+AB157+AD157+AF157+AH157</f>
        <v>3500.8553400000001</v>
      </c>
      <c r="H157" s="33"/>
      <c r="I157" s="157">
        <v>368.64</v>
      </c>
      <c r="J157" s="157">
        <v>368.64</v>
      </c>
      <c r="K157" s="157">
        <v>120.19</v>
      </c>
      <c r="L157" s="157">
        <v>120.19405999999999</v>
      </c>
      <c r="M157" s="157">
        <v>124.61</v>
      </c>
      <c r="N157" s="157">
        <v>124.61</v>
      </c>
      <c r="O157" s="53">
        <f>I157+K157+M157</f>
        <v>613.43999999999994</v>
      </c>
      <c r="P157" s="53">
        <f>J157+L157+N157</f>
        <v>613.44405999999992</v>
      </c>
      <c r="Q157" s="157">
        <v>148.63999999999999</v>
      </c>
      <c r="R157" s="157">
        <v>148.63713000000001</v>
      </c>
      <c r="S157" s="157">
        <v>191.8</v>
      </c>
      <c r="T157" s="157">
        <v>191.80115000000001</v>
      </c>
      <c r="U157" s="157">
        <v>215.89</v>
      </c>
      <c r="V157" s="157">
        <v>215.89099999999999</v>
      </c>
      <c r="W157" s="157">
        <v>1482.36</v>
      </c>
      <c r="X157" s="157">
        <v>1482.3620000000001</v>
      </c>
      <c r="Y157" s="157">
        <v>96.89</v>
      </c>
      <c r="Z157" s="157">
        <f>96.92-0.029</f>
        <v>96.891000000000005</v>
      </c>
      <c r="AA157" s="157">
        <v>751.8</v>
      </c>
      <c r="AB157" s="157">
        <v>751.82899999999995</v>
      </c>
      <c r="AC157" s="157">
        <v>579</v>
      </c>
      <c r="AD157" s="157"/>
      <c r="AE157" s="157">
        <v>185</v>
      </c>
      <c r="AF157" s="157"/>
      <c r="AG157" s="157">
        <v>174.28</v>
      </c>
      <c r="AH157" s="157"/>
      <c r="AI157" s="74"/>
    </row>
    <row r="158" spans="1:36" ht="38.25" customHeight="1">
      <c r="A158" s="51" t="s">
        <v>25</v>
      </c>
      <c r="B158" s="52" t="s">
        <v>82</v>
      </c>
      <c r="C158" s="85" t="s">
        <v>16</v>
      </c>
      <c r="D158" s="40" t="s">
        <v>15</v>
      </c>
      <c r="E158" s="235">
        <f>I158+K158+M158+Q158+S158+U158+W158+Y158+AA158+AC158+AE158+AG158</f>
        <v>70409.320000000007</v>
      </c>
      <c r="F158" s="162">
        <f>I158+K158+M158+Q158+S158+U158+W158+Y158+AA158+AC158+AE158+AG158</f>
        <v>70409.320000000007</v>
      </c>
      <c r="G158" s="227">
        <f>J158+L158+N158+R158+T158+V158+X158+Z158+AB158+AD158+AF158+AH158</f>
        <v>47223.720910000004</v>
      </c>
      <c r="H158" s="33"/>
      <c r="I158" s="157">
        <v>9800.2000000000007</v>
      </c>
      <c r="J158" s="157">
        <v>9800.2000000000007</v>
      </c>
      <c r="K158" s="157">
        <v>0</v>
      </c>
      <c r="L158" s="157">
        <v>0</v>
      </c>
      <c r="M158" s="157">
        <v>6422.02</v>
      </c>
      <c r="N158" s="157">
        <v>6422.02</v>
      </c>
      <c r="O158" s="157">
        <f>I158+K158+M158</f>
        <v>16222.220000000001</v>
      </c>
      <c r="P158" s="157">
        <f>J158+L158+N158</f>
        <v>16222.220000000001</v>
      </c>
      <c r="Q158" s="157">
        <v>6857.44</v>
      </c>
      <c r="R158" s="157">
        <v>6857.4393099999998</v>
      </c>
      <c r="S158" s="157">
        <v>5750.2</v>
      </c>
      <c r="T158" s="234">
        <v>5750.2165999999997</v>
      </c>
      <c r="U158" s="157">
        <v>3458.2</v>
      </c>
      <c r="V158" s="157">
        <v>3458.2</v>
      </c>
      <c r="W158" s="157">
        <v>8371.5499999999993</v>
      </c>
      <c r="X158" s="157">
        <v>8371.5450000000001</v>
      </c>
      <c r="Y158" s="157">
        <v>2469.6</v>
      </c>
      <c r="Z158" s="157">
        <f>2469.62-0.02</f>
        <v>2469.6</v>
      </c>
      <c r="AA158" s="157">
        <v>4094.5</v>
      </c>
      <c r="AB158" s="157">
        <v>4094.5</v>
      </c>
      <c r="AC158" s="157">
        <v>2275</v>
      </c>
      <c r="AD158" s="157"/>
      <c r="AE158" s="157">
        <v>6771</v>
      </c>
      <c r="AF158" s="157"/>
      <c r="AG158" s="157">
        <v>14139.61</v>
      </c>
      <c r="AH158" s="157"/>
      <c r="AI158" s="74"/>
    </row>
    <row r="159" spans="1:36" ht="21.6" hidden="1" customHeight="1">
      <c r="A159" s="43"/>
      <c r="B159" s="78"/>
      <c r="C159" s="82"/>
      <c r="D159" s="82"/>
      <c r="E159" s="163"/>
      <c r="F159" s="163"/>
      <c r="G159" s="163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4"/>
    </row>
    <row r="160" spans="1:36" hidden="1">
      <c r="A160" s="43"/>
      <c r="B160" s="14" t="s">
        <v>17</v>
      </c>
      <c r="C160" s="83"/>
      <c r="D160" s="83"/>
      <c r="E160" s="21"/>
      <c r="F160" s="164"/>
      <c r="G160" s="164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74"/>
    </row>
    <row r="161" spans="1:244" ht="14.25" hidden="1" customHeight="1">
      <c r="A161" s="43"/>
      <c r="B161" s="17"/>
      <c r="C161" s="82"/>
      <c r="D161" s="82"/>
      <c r="E161" s="165"/>
      <c r="F161" s="81"/>
      <c r="G161" s="166"/>
      <c r="H161" s="80"/>
      <c r="I161" s="80"/>
      <c r="J161" s="80"/>
      <c r="K161" s="80"/>
      <c r="L161" s="80"/>
      <c r="M161" s="80"/>
      <c r="N161" s="80"/>
      <c r="O161" s="79"/>
      <c r="P161" s="79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74"/>
    </row>
    <row r="162" spans="1:244" ht="33.75" customHeight="1">
      <c r="A162" s="54"/>
      <c r="B162" s="55" t="s">
        <v>156</v>
      </c>
      <c r="C162" s="84"/>
      <c r="D162" s="84"/>
      <c r="E162" s="167">
        <f>E164+E165</f>
        <v>133724.02000000002</v>
      </c>
      <c r="F162" s="167"/>
      <c r="G162" s="167">
        <f t="shared" ref="G162:AH162" si="45">G164+G165</f>
        <v>86414.333159999995</v>
      </c>
      <c r="H162" s="167" t="e">
        <f t="shared" si="45"/>
        <v>#REF!</v>
      </c>
      <c r="I162" s="167">
        <f t="shared" si="45"/>
        <v>10168.84</v>
      </c>
      <c r="J162" s="167">
        <f t="shared" si="45"/>
        <v>10168.84</v>
      </c>
      <c r="K162" s="167">
        <f t="shared" si="45"/>
        <v>626.71</v>
      </c>
      <c r="L162" s="167">
        <f t="shared" si="45"/>
        <v>626.71797000000004</v>
      </c>
      <c r="M162" s="167">
        <f t="shared" si="45"/>
        <v>6848.63</v>
      </c>
      <c r="N162" s="167">
        <f t="shared" si="45"/>
        <v>6848.2160000000003</v>
      </c>
      <c r="O162" s="167">
        <f t="shared" si="45"/>
        <v>16835.66</v>
      </c>
      <c r="P162" s="167">
        <f t="shared" si="45"/>
        <v>16835.664060000003</v>
      </c>
      <c r="Q162" s="167">
        <f t="shared" si="45"/>
        <v>7006.08</v>
      </c>
      <c r="R162" s="167">
        <f t="shared" si="45"/>
        <v>7006.0764399999998</v>
      </c>
      <c r="S162" s="167">
        <f t="shared" si="45"/>
        <v>6277.6</v>
      </c>
      <c r="T162" s="167">
        <f t="shared" si="45"/>
        <v>5942.01775</v>
      </c>
      <c r="U162" s="167">
        <f t="shared" si="45"/>
        <v>6081.2899999999991</v>
      </c>
      <c r="V162" s="167">
        <f t="shared" si="45"/>
        <v>5357.9809999999998</v>
      </c>
      <c r="W162" s="167">
        <f t="shared" si="45"/>
        <v>18671.239999999998</v>
      </c>
      <c r="X162" s="167">
        <f t="shared" si="45"/>
        <v>18671.233999999997</v>
      </c>
      <c r="Y162" s="167">
        <f t="shared" si="45"/>
        <v>14173.369999999999</v>
      </c>
      <c r="Z162" s="167">
        <f t="shared" si="45"/>
        <v>14173.370999999999</v>
      </c>
      <c r="AA162" s="167">
        <f t="shared" si="45"/>
        <v>17619.82</v>
      </c>
      <c r="AB162" s="167">
        <f t="shared" si="45"/>
        <v>17619.879000000001</v>
      </c>
      <c r="AC162" s="167">
        <f t="shared" si="45"/>
        <v>10405.700000000001</v>
      </c>
      <c r="AD162" s="167">
        <f t="shared" si="45"/>
        <v>0</v>
      </c>
      <c r="AE162" s="167">
        <f t="shared" si="45"/>
        <v>21530.85</v>
      </c>
      <c r="AF162" s="167">
        <f t="shared" si="45"/>
        <v>0</v>
      </c>
      <c r="AG162" s="167">
        <f t="shared" si="45"/>
        <v>14313.890000000001</v>
      </c>
      <c r="AH162" s="167">
        <f t="shared" si="45"/>
        <v>0</v>
      </c>
      <c r="AI162" s="74"/>
    </row>
    <row r="163" spans="1:244" ht="21" customHeight="1">
      <c r="A163" s="43"/>
      <c r="B163" s="17" t="s">
        <v>17</v>
      </c>
      <c r="C163" s="57"/>
      <c r="D163" s="57"/>
      <c r="E163" s="168"/>
      <c r="F163" s="169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68"/>
      <c r="AE163" s="168"/>
      <c r="AF163" s="168"/>
      <c r="AG163" s="168"/>
      <c r="AH163" s="168"/>
    </row>
    <row r="164" spans="1:244" ht="18" customHeight="1">
      <c r="A164" s="54"/>
      <c r="B164" s="17" t="s">
        <v>18</v>
      </c>
      <c r="C164" s="57"/>
      <c r="D164" s="57"/>
      <c r="E164" s="170">
        <f>E26</f>
        <v>47450.099999999991</v>
      </c>
      <c r="F164" s="170">
        <f>F26+F154</f>
        <v>69934.2</v>
      </c>
      <c r="G164" s="170">
        <f t="shared" ref="G164:AH164" si="46">G26</f>
        <v>27789.074999999997</v>
      </c>
      <c r="H164" s="170" t="e">
        <f t="shared" si="46"/>
        <v>#REF!</v>
      </c>
      <c r="I164" s="170">
        <f t="shared" si="46"/>
        <v>0</v>
      </c>
      <c r="J164" s="170">
        <f t="shared" si="46"/>
        <v>0</v>
      </c>
      <c r="K164" s="170">
        <f t="shared" si="46"/>
        <v>0</v>
      </c>
      <c r="L164" s="170">
        <f t="shared" si="46"/>
        <v>0</v>
      </c>
      <c r="M164" s="170">
        <f t="shared" si="46"/>
        <v>0</v>
      </c>
      <c r="N164" s="170">
        <f t="shared" si="46"/>
        <v>0</v>
      </c>
      <c r="O164" s="170">
        <f t="shared" si="46"/>
        <v>0</v>
      </c>
      <c r="P164" s="170">
        <f t="shared" si="46"/>
        <v>0</v>
      </c>
      <c r="Q164" s="170">
        <f t="shared" si="46"/>
        <v>0</v>
      </c>
      <c r="R164" s="170">
        <f t="shared" si="46"/>
        <v>0</v>
      </c>
      <c r="S164" s="170">
        <f t="shared" si="46"/>
        <v>0</v>
      </c>
      <c r="T164" s="170">
        <f t="shared" si="46"/>
        <v>0</v>
      </c>
      <c r="U164" s="170">
        <f t="shared" si="46"/>
        <v>1203.57</v>
      </c>
      <c r="V164" s="170">
        <f t="shared" si="46"/>
        <v>1203.5650000000001</v>
      </c>
      <c r="W164" s="170">
        <f t="shared" si="46"/>
        <v>8376.4599999999991</v>
      </c>
      <c r="X164" s="170">
        <f t="shared" si="46"/>
        <v>8376.4599999999991</v>
      </c>
      <c r="Y164" s="170">
        <f t="shared" si="46"/>
        <v>11026.279999999999</v>
      </c>
      <c r="Z164" s="170">
        <f t="shared" si="46"/>
        <v>11026.279999999999</v>
      </c>
      <c r="AA164" s="170">
        <f t="shared" si="46"/>
        <v>7182.76</v>
      </c>
      <c r="AB164" s="170">
        <f t="shared" si="46"/>
        <v>7182.7699999999995</v>
      </c>
      <c r="AC164" s="170">
        <f t="shared" si="46"/>
        <v>5815.1</v>
      </c>
      <c r="AD164" s="170">
        <f t="shared" si="46"/>
        <v>0</v>
      </c>
      <c r="AE164" s="170">
        <f t="shared" si="46"/>
        <v>13845.93</v>
      </c>
      <c r="AF164" s="170">
        <f t="shared" si="46"/>
        <v>0</v>
      </c>
      <c r="AG164" s="170">
        <f t="shared" si="46"/>
        <v>0</v>
      </c>
      <c r="AH164" s="170">
        <f t="shared" si="46"/>
        <v>0</v>
      </c>
    </row>
    <row r="165" spans="1:244" ht="21.75" customHeight="1">
      <c r="A165" s="54"/>
      <c r="B165" s="17" t="s">
        <v>77</v>
      </c>
      <c r="C165" s="57"/>
      <c r="D165" s="57"/>
      <c r="E165" s="160">
        <f>E156+E27</f>
        <v>86273.920000000013</v>
      </c>
      <c r="F165" s="160">
        <f>F27+F155+F161</f>
        <v>18537</v>
      </c>
      <c r="G165" s="160">
        <f t="shared" ref="G165:AH165" si="47">G156+G27</f>
        <v>58625.258159999998</v>
      </c>
      <c r="H165" s="160" t="e">
        <f t="shared" si="47"/>
        <v>#REF!</v>
      </c>
      <c r="I165" s="160">
        <f t="shared" si="47"/>
        <v>10168.84</v>
      </c>
      <c r="J165" s="160">
        <f t="shared" si="47"/>
        <v>10168.84</v>
      </c>
      <c r="K165" s="160">
        <f t="shared" si="47"/>
        <v>626.71</v>
      </c>
      <c r="L165" s="160">
        <f t="shared" si="47"/>
        <v>626.71797000000004</v>
      </c>
      <c r="M165" s="160">
        <f t="shared" si="47"/>
        <v>6848.63</v>
      </c>
      <c r="N165" s="160">
        <f t="shared" si="47"/>
        <v>6848.2160000000003</v>
      </c>
      <c r="O165" s="160">
        <f t="shared" si="47"/>
        <v>16835.66</v>
      </c>
      <c r="P165" s="160">
        <f t="shared" si="47"/>
        <v>16835.664060000003</v>
      </c>
      <c r="Q165" s="160">
        <f t="shared" si="47"/>
        <v>7006.08</v>
      </c>
      <c r="R165" s="160">
        <f t="shared" si="47"/>
        <v>7006.0764399999998</v>
      </c>
      <c r="S165" s="160">
        <f t="shared" si="47"/>
        <v>6277.6</v>
      </c>
      <c r="T165" s="160">
        <f t="shared" si="47"/>
        <v>5942.01775</v>
      </c>
      <c r="U165" s="160">
        <f t="shared" si="47"/>
        <v>4877.7199999999993</v>
      </c>
      <c r="V165" s="160">
        <f t="shared" si="47"/>
        <v>4154.4160000000002</v>
      </c>
      <c r="W165" s="160">
        <f t="shared" si="47"/>
        <v>10294.780000000001</v>
      </c>
      <c r="X165" s="160">
        <f t="shared" si="47"/>
        <v>10294.773999999999</v>
      </c>
      <c r="Y165" s="160">
        <f t="shared" si="47"/>
        <v>3147.0899999999997</v>
      </c>
      <c r="Z165" s="160">
        <f t="shared" si="47"/>
        <v>3147.0909999999999</v>
      </c>
      <c r="AA165" s="160">
        <f t="shared" si="47"/>
        <v>10437.060000000001</v>
      </c>
      <c r="AB165" s="160">
        <f t="shared" si="47"/>
        <v>10437.109</v>
      </c>
      <c r="AC165" s="160">
        <f t="shared" si="47"/>
        <v>4590.6000000000004</v>
      </c>
      <c r="AD165" s="160">
        <f t="shared" si="47"/>
        <v>0</v>
      </c>
      <c r="AE165" s="160">
        <f t="shared" si="47"/>
        <v>7684.92</v>
      </c>
      <c r="AF165" s="160">
        <f t="shared" si="47"/>
        <v>0</v>
      </c>
      <c r="AG165" s="160">
        <f t="shared" si="47"/>
        <v>14313.890000000001</v>
      </c>
      <c r="AH165" s="160">
        <f t="shared" si="47"/>
        <v>0</v>
      </c>
    </row>
    <row r="166" spans="1:244" ht="19.5" customHeight="1">
      <c r="A166" s="306" t="s">
        <v>42</v>
      </c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306"/>
      <c r="X166" s="306"/>
      <c r="Y166" s="306"/>
      <c r="Z166" s="306"/>
      <c r="AA166" s="306"/>
      <c r="AB166" s="306"/>
      <c r="AC166" s="306"/>
      <c r="AD166" s="306"/>
      <c r="AE166" s="306"/>
      <c r="AF166" s="306"/>
      <c r="AG166" s="306"/>
      <c r="AH166" s="306"/>
    </row>
    <row r="167" spans="1:244" s="8" customFormat="1" ht="18.75" customHeight="1">
      <c r="A167" s="23"/>
      <c r="B167" s="278" t="s">
        <v>157</v>
      </c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  <c r="AA167" s="278"/>
      <c r="AB167" s="278"/>
      <c r="AC167" s="278"/>
      <c r="AD167" s="278"/>
      <c r="AE167" s="278"/>
      <c r="AF167" s="278"/>
      <c r="AG167" s="278"/>
      <c r="AH167" s="278"/>
    </row>
    <row r="168" spans="1:244" s="213" customFormat="1" ht="18.75" customHeight="1">
      <c r="A168" s="299" t="s">
        <v>45</v>
      </c>
      <c r="B168" s="310" t="s">
        <v>159</v>
      </c>
      <c r="C168" s="311"/>
      <c r="D168" s="40" t="s">
        <v>89</v>
      </c>
      <c r="E168" s="214">
        <f>E169+E170</f>
        <v>28700.000000000004</v>
      </c>
      <c r="F168" s="212"/>
      <c r="G168" s="214">
        <f t="shared" ref="G168:AH168" si="48">G169+G170</f>
        <v>20889.678</v>
      </c>
      <c r="H168" s="214">
        <f t="shared" si="48"/>
        <v>0</v>
      </c>
      <c r="I168" s="214">
        <f t="shared" si="48"/>
        <v>2403.14</v>
      </c>
      <c r="J168" s="214">
        <f t="shared" si="48"/>
        <v>2403.14</v>
      </c>
      <c r="K168" s="214">
        <f t="shared" si="48"/>
        <v>0</v>
      </c>
      <c r="L168" s="214">
        <f t="shared" si="48"/>
        <v>0</v>
      </c>
      <c r="M168" s="214">
        <f t="shared" si="48"/>
        <v>2168.5500000000002</v>
      </c>
      <c r="N168" s="214">
        <f t="shared" si="48"/>
        <v>2168.5500000000002</v>
      </c>
      <c r="O168" s="214">
        <f t="shared" si="48"/>
        <v>0</v>
      </c>
      <c r="P168" s="214">
        <f t="shared" si="48"/>
        <v>0</v>
      </c>
      <c r="Q168" s="214">
        <f t="shared" si="48"/>
        <v>5171.16</v>
      </c>
      <c r="R168" s="214">
        <f t="shared" si="48"/>
        <v>5171.16</v>
      </c>
      <c r="S168" s="214">
        <f t="shared" si="48"/>
        <v>2000</v>
      </c>
      <c r="T168" s="214">
        <f t="shared" si="48"/>
        <v>2000</v>
      </c>
      <c r="U168" s="214">
        <f t="shared" si="48"/>
        <v>3107.55</v>
      </c>
      <c r="V168" s="214">
        <f t="shared" si="48"/>
        <v>3107.55</v>
      </c>
      <c r="W168" s="214">
        <f t="shared" si="48"/>
        <v>1905.39</v>
      </c>
      <c r="X168" s="214">
        <f t="shared" si="48"/>
        <v>1905.3879999999999</v>
      </c>
      <c r="Y168" s="214">
        <f t="shared" si="48"/>
        <v>3098.68</v>
      </c>
      <c r="Z168" s="214">
        <f t="shared" si="48"/>
        <v>3098.68</v>
      </c>
      <c r="AA168" s="214">
        <f t="shared" si="48"/>
        <v>1035.31</v>
      </c>
      <c r="AB168" s="214">
        <f t="shared" si="48"/>
        <v>1035.21</v>
      </c>
      <c r="AC168" s="214">
        <f t="shared" si="48"/>
        <v>2413</v>
      </c>
      <c r="AD168" s="214">
        <f t="shared" si="48"/>
        <v>0</v>
      </c>
      <c r="AE168" s="214">
        <f t="shared" si="48"/>
        <v>2749</v>
      </c>
      <c r="AF168" s="214">
        <f t="shared" si="48"/>
        <v>0</v>
      </c>
      <c r="AG168" s="214">
        <f t="shared" si="48"/>
        <v>2648.22</v>
      </c>
      <c r="AH168" s="214">
        <f t="shared" si="48"/>
        <v>0</v>
      </c>
    </row>
    <row r="169" spans="1:244" s="213" customFormat="1" ht="18.75" customHeight="1">
      <c r="A169" s="300"/>
      <c r="B169" s="312"/>
      <c r="C169" s="313"/>
      <c r="D169" s="40" t="s">
        <v>88</v>
      </c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/>
      <c r="AF169" s="212"/>
      <c r="AG169" s="212"/>
      <c r="AH169" s="212"/>
    </row>
    <row r="170" spans="1:244" s="213" customFormat="1" ht="18.75" customHeight="1">
      <c r="A170" s="301"/>
      <c r="B170" s="314"/>
      <c r="C170" s="315"/>
      <c r="D170" s="40" t="s">
        <v>15</v>
      </c>
      <c r="E170" s="214">
        <f>E173</f>
        <v>28700.000000000004</v>
      </c>
      <c r="F170" s="212"/>
      <c r="G170" s="214">
        <f t="shared" ref="G170:AH170" si="49">G173</f>
        <v>20889.678</v>
      </c>
      <c r="H170" s="214">
        <f t="shared" si="49"/>
        <v>0</v>
      </c>
      <c r="I170" s="214">
        <f t="shared" si="49"/>
        <v>2403.14</v>
      </c>
      <c r="J170" s="214">
        <f t="shared" si="49"/>
        <v>2403.14</v>
      </c>
      <c r="K170" s="214">
        <f t="shared" si="49"/>
        <v>0</v>
      </c>
      <c r="L170" s="214">
        <f t="shared" si="49"/>
        <v>0</v>
      </c>
      <c r="M170" s="214">
        <f t="shared" si="49"/>
        <v>2168.5500000000002</v>
      </c>
      <c r="N170" s="214">
        <f t="shared" si="49"/>
        <v>2168.5500000000002</v>
      </c>
      <c r="O170" s="214">
        <f t="shared" si="49"/>
        <v>0</v>
      </c>
      <c r="P170" s="214">
        <f t="shared" si="49"/>
        <v>0</v>
      </c>
      <c r="Q170" s="214">
        <f t="shared" si="49"/>
        <v>5171.16</v>
      </c>
      <c r="R170" s="214">
        <f t="shared" si="49"/>
        <v>5171.16</v>
      </c>
      <c r="S170" s="214">
        <f t="shared" si="49"/>
        <v>2000</v>
      </c>
      <c r="T170" s="214">
        <f t="shared" si="49"/>
        <v>2000</v>
      </c>
      <c r="U170" s="214">
        <f t="shared" si="49"/>
        <v>3107.55</v>
      </c>
      <c r="V170" s="214">
        <f t="shared" si="49"/>
        <v>3107.55</v>
      </c>
      <c r="W170" s="214">
        <f t="shared" si="49"/>
        <v>1905.39</v>
      </c>
      <c r="X170" s="214">
        <f t="shared" si="49"/>
        <v>1905.3879999999999</v>
      </c>
      <c r="Y170" s="214">
        <f t="shared" si="49"/>
        <v>3098.68</v>
      </c>
      <c r="Z170" s="214">
        <f t="shared" si="49"/>
        <v>3098.68</v>
      </c>
      <c r="AA170" s="214">
        <f t="shared" si="49"/>
        <v>1035.31</v>
      </c>
      <c r="AB170" s="214">
        <f t="shared" si="49"/>
        <v>1035.21</v>
      </c>
      <c r="AC170" s="214">
        <f t="shared" si="49"/>
        <v>2413</v>
      </c>
      <c r="AD170" s="214">
        <f t="shared" si="49"/>
        <v>0</v>
      </c>
      <c r="AE170" s="214">
        <f t="shared" si="49"/>
        <v>2749</v>
      </c>
      <c r="AF170" s="214">
        <f t="shared" si="49"/>
        <v>0</v>
      </c>
      <c r="AG170" s="214">
        <f t="shared" si="49"/>
        <v>2648.22</v>
      </c>
      <c r="AH170" s="214">
        <f t="shared" si="49"/>
        <v>0</v>
      </c>
    </row>
    <row r="171" spans="1:244" s="203" customFormat="1" ht="18.75" customHeight="1">
      <c r="A171" s="298" t="s">
        <v>158</v>
      </c>
      <c r="B171" s="309" t="s">
        <v>74</v>
      </c>
      <c r="C171" s="305" t="s">
        <v>16</v>
      </c>
      <c r="D171" s="40" t="s">
        <v>89</v>
      </c>
      <c r="E171" s="199">
        <f t="shared" ref="E171:AH171" si="50">E173+E172</f>
        <v>28700.000000000004</v>
      </c>
      <c r="F171" s="200">
        <f>I171+K171+M171+Q171+S171+U171+W171+Y171+AA171+AC171+AE171+AG171</f>
        <v>28700.000000000004</v>
      </c>
      <c r="G171" s="199">
        <f>G173+G172</f>
        <v>20889.678</v>
      </c>
      <c r="H171" s="199">
        <f t="shared" si="50"/>
        <v>0</v>
      </c>
      <c r="I171" s="199">
        <f t="shared" si="50"/>
        <v>2403.14</v>
      </c>
      <c r="J171" s="199">
        <f t="shared" si="50"/>
        <v>2403.14</v>
      </c>
      <c r="K171" s="199">
        <f t="shared" si="50"/>
        <v>0</v>
      </c>
      <c r="L171" s="199">
        <f t="shared" si="50"/>
        <v>0</v>
      </c>
      <c r="M171" s="199">
        <f t="shared" si="50"/>
        <v>2168.5500000000002</v>
      </c>
      <c r="N171" s="199">
        <f t="shared" si="50"/>
        <v>2168.5500000000002</v>
      </c>
      <c r="O171" s="200">
        <f>I171+K171+M171</f>
        <v>4571.6900000000005</v>
      </c>
      <c r="P171" s="200">
        <f>J171+L171+N171</f>
        <v>4571.6900000000005</v>
      </c>
      <c r="Q171" s="199">
        <f t="shared" si="50"/>
        <v>5171.16</v>
      </c>
      <c r="R171" s="199">
        <v>4500.8999999999996</v>
      </c>
      <c r="S171" s="199">
        <f t="shared" si="50"/>
        <v>2000</v>
      </c>
      <c r="T171" s="199">
        <f t="shared" si="50"/>
        <v>2000</v>
      </c>
      <c r="U171" s="199">
        <f t="shared" si="50"/>
        <v>3107.55</v>
      </c>
      <c r="V171" s="199">
        <f t="shared" si="50"/>
        <v>3107.55</v>
      </c>
      <c r="W171" s="199">
        <f t="shared" si="50"/>
        <v>1905.39</v>
      </c>
      <c r="X171" s="199">
        <f>X173+X172</f>
        <v>1905.3879999999999</v>
      </c>
      <c r="Y171" s="199">
        <f>Y173+Y172</f>
        <v>3098.68</v>
      </c>
      <c r="Z171" s="199">
        <f t="shared" si="50"/>
        <v>3098.68</v>
      </c>
      <c r="AA171" s="199">
        <f t="shared" si="50"/>
        <v>1035.31</v>
      </c>
      <c r="AB171" s="199">
        <f t="shared" si="50"/>
        <v>1035.21</v>
      </c>
      <c r="AC171" s="199">
        <f t="shared" si="50"/>
        <v>2413</v>
      </c>
      <c r="AD171" s="199">
        <f t="shared" si="50"/>
        <v>0</v>
      </c>
      <c r="AE171" s="199">
        <f>AE173+AE172</f>
        <v>2749</v>
      </c>
      <c r="AF171" s="199">
        <f t="shared" si="50"/>
        <v>0</v>
      </c>
      <c r="AG171" s="199">
        <f t="shared" si="50"/>
        <v>2648.22</v>
      </c>
      <c r="AH171" s="199">
        <f t="shared" si="50"/>
        <v>0</v>
      </c>
    </row>
    <row r="172" spans="1:244" s="203" customFormat="1" ht="19.5" customHeight="1">
      <c r="A172" s="298"/>
      <c r="B172" s="309"/>
      <c r="C172" s="305"/>
      <c r="D172" s="40" t="s">
        <v>88</v>
      </c>
      <c r="E172" s="204"/>
      <c r="F172" s="205">
        <f>I172+K172+M172+Q172+S172+U172+W172+Y172+AA172+AC172+AE172+AG172</f>
        <v>0</v>
      </c>
      <c r="G172" s="204"/>
      <c r="H172" s="204"/>
      <c r="I172" s="204"/>
      <c r="J172" s="204"/>
      <c r="K172" s="204"/>
      <c r="L172" s="204"/>
      <c r="M172" s="204"/>
      <c r="N172" s="204"/>
      <c r="O172" s="209"/>
      <c r="P172" s="209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</row>
    <row r="173" spans="1:244" s="208" customFormat="1" ht="19.5" customHeight="1">
      <c r="A173" s="298"/>
      <c r="B173" s="309"/>
      <c r="C173" s="305"/>
      <c r="D173" s="40" t="s">
        <v>15</v>
      </c>
      <c r="E173" s="227">
        <f>I173+K173+M173+Q173+S173+U173+W173+Y173+AA173+AC173+AE173+AG173</f>
        <v>28700.000000000004</v>
      </c>
      <c r="F173" s="206">
        <f>I173+K173+M173+Q173+S173+U173+W173+Y173+AA173+AC173+AE173+AG173</f>
        <v>28700.000000000004</v>
      </c>
      <c r="G173" s="207">
        <f>J173+L173+N173+R173+T173+V173+X173+Z173+AB173+AD173+AF173+AH173</f>
        <v>20889.678</v>
      </c>
      <c r="H173" s="207"/>
      <c r="I173" s="207">
        <v>2403.14</v>
      </c>
      <c r="J173" s="207">
        <v>2403.14</v>
      </c>
      <c r="K173" s="207">
        <v>0</v>
      </c>
      <c r="L173" s="207">
        <v>0</v>
      </c>
      <c r="M173" s="207">
        <v>2168.5500000000002</v>
      </c>
      <c r="N173" s="207">
        <v>2168.5500000000002</v>
      </c>
      <c r="O173" s="210"/>
      <c r="P173" s="210"/>
      <c r="Q173" s="207">
        <v>5171.16</v>
      </c>
      <c r="R173" s="207">
        <v>5171.16</v>
      </c>
      <c r="S173" s="207">
        <v>2000</v>
      </c>
      <c r="T173" s="207">
        <v>2000</v>
      </c>
      <c r="U173" s="207">
        <v>3107.55</v>
      </c>
      <c r="V173" s="207">
        <v>3107.55</v>
      </c>
      <c r="W173" s="207">
        <v>1905.39</v>
      </c>
      <c r="X173" s="207">
        <v>1905.3879999999999</v>
      </c>
      <c r="Y173" s="207">
        <v>3098.68</v>
      </c>
      <c r="Z173" s="207">
        <f>3098.68</f>
        <v>3098.68</v>
      </c>
      <c r="AA173" s="207">
        <v>1035.31</v>
      </c>
      <c r="AB173" s="207">
        <f>1035.21</f>
        <v>1035.21</v>
      </c>
      <c r="AC173" s="207">
        <v>2413</v>
      </c>
      <c r="AD173" s="211"/>
      <c r="AE173" s="211">
        <v>2749</v>
      </c>
      <c r="AF173" s="207"/>
      <c r="AG173" s="207">
        <v>2648.22</v>
      </c>
      <c r="AH173" s="207"/>
    </row>
    <row r="174" spans="1:244" ht="33">
      <c r="A174" s="70"/>
      <c r="B174" s="71" t="s">
        <v>160</v>
      </c>
      <c r="C174" s="64"/>
      <c r="D174" s="86"/>
      <c r="E174" s="216">
        <f>E176+E177</f>
        <v>28700.000000000004</v>
      </c>
      <c r="F174" s="216">
        <f t="shared" ref="F174:AH174" si="51">F176+F177</f>
        <v>28700.000000000004</v>
      </c>
      <c r="G174" s="216">
        <f t="shared" si="51"/>
        <v>20889.678</v>
      </c>
      <c r="H174" s="216">
        <f t="shared" si="51"/>
        <v>0</v>
      </c>
      <c r="I174" s="216">
        <f t="shared" si="51"/>
        <v>2403.14</v>
      </c>
      <c r="J174" s="216">
        <f t="shared" si="51"/>
        <v>2403.14</v>
      </c>
      <c r="K174" s="216">
        <f t="shared" si="51"/>
        <v>0</v>
      </c>
      <c r="L174" s="216">
        <f t="shared" si="51"/>
        <v>0</v>
      </c>
      <c r="M174" s="216">
        <f t="shared" si="51"/>
        <v>2168.5500000000002</v>
      </c>
      <c r="N174" s="216">
        <f t="shared" si="51"/>
        <v>2168.5500000000002</v>
      </c>
      <c r="O174" s="217">
        <f>I174+K174+M174</f>
        <v>4571.6900000000005</v>
      </c>
      <c r="P174" s="217">
        <f>J174+L174+N174</f>
        <v>4571.6900000000005</v>
      </c>
      <c r="Q174" s="216">
        <f t="shared" si="51"/>
        <v>5171.16</v>
      </c>
      <c r="R174" s="216">
        <f t="shared" si="51"/>
        <v>5171.16</v>
      </c>
      <c r="S174" s="216">
        <f t="shared" si="51"/>
        <v>2000</v>
      </c>
      <c r="T174" s="216">
        <f t="shared" si="51"/>
        <v>2000</v>
      </c>
      <c r="U174" s="216">
        <f t="shared" si="51"/>
        <v>3107.55</v>
      </c>
      <c r="V174" s="216">
        <f t="shared" si="51"/>
        <v>3107.55</v>
      </c>
      <c r="W174" s="216">
        <f t="shared" si="51"/>
        <v>1905.39</v>
      </c>
      <c r="X174" s="216">
        <f t="shared" si="51"/>
        <v>1905.3879999999999</v>
      </c>
      <c r="Y174" s="216">
        <f t="shared" si="51"/>
        <v>3098.68</v>
      </c>
      <c r="Z174" s="216">
        <f t="shared" si="51"/>
        <v>3098.68</v>
      </c>
      <c r="AA174" s="216">
        <f t="shared" si="51"/>
        <v>1035.31</v>
      </c>
      <c r="AB174" s="216">
        <f t="shared" si="51"/>
        <v>1035.21</v>
      </c>
      <c r="AC174" s="216">
        <f t="shared" si="51"/>
        <v>2413</v>
      </c>
      <c r="AD174" s="216">
        <f t="shared" si="51"/>
        <v>0</v>
      </c>
      <c r="AE174" s="216">
        <f t="shared" si="51"/>
        <v>2749</v>
      </c>
      <c r="AF174" s="216">
        <f t="shared" si="51"/>
        <v>0</v>
      </c>
      <c r="AG174" s="216">
        <f t="shared" si="51"/>
        <v>2648.22</v>
      </c>
      <c r="AH174" s="216">
        <f t="shared" si="51"/>
        <v>0</v>
      </c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</row>
    <row r="175" spans="1:244">
      <c r="A175" s="43"/>
      <c r="B175" s="17" t="s">
        <v>17</v>
      </c>
      <c r="C175" s="25"/>
      <c r="D175" s="25"/>
      <c r="E175" s="25"/>
      <c r="F175" s="64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</row>
    <row r="176" spans="1:244" ht="18" hidden="1" customHeight="1">
      <c r="A176" s="43"/>
      <c r="B176" s="17" t="s">
        <v>18</v>
      </c>
      <c r="C176" s="25"/>
      <c r="D176" s="25"/>
      <c r="E176" s="25"/>
      <c r="F176" s="64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59"/>
      <c r="X176" s="59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</row>
    <row r="177" spans="1:250" ht="18" customHeight="1">
      <c r="A177" s="43"/>
      <c r="B177" s="17" t="s">
        <v>77</v>
      </c>
      <c r="C177" s="25"/>
      <c r="D177" s="25"/>
      <c r="E177" s="218">
        <f t="shared" ref="E177:AG177" si="52">E173</f>
        <v>28700.000000000004</v>
      </c>
      <c r="F177" s="218">
        <f t="shared" si="52"/>
        <v>28700.000000000004</v>
      </c>
      <c r="G177" s="218">
        <f t="shared" si="52"/>
        <v>20889.678</v>
      </c>
      <c r="H177" s="218">
        <f t="shared" si="52"/>
        <v>0</v>
      </c>
      <c r="I177" s="218">
        <f t="shared" si="52"/>
        <v>2403.14</v>
      </c>
      <c r="J177" s="218">
        <f t="shared" si="52"/>
        <v>2403.14</v>
      </c>
      <c r="K177" s="218">
        <f t="shared" si="52"/>
        <v>0</v>
      </c>
      <c r="L177" s="218">
        <f t="shared" si="52"/>
        <v>0</v>
      </c>
      <c r="M177" s="218">
        <f t="shared" si="52"/>
        <v>2168.5500000000002</v>
      </c>
      <c r="N177" s="218">
        <f>N173</f>
        <v>2168.5500000000002</v>
      </c>
      <c r="O177" s="218">
        <f t="shared" si="52"/>
        <v>0</v>
      </c>
      <c r="P177" s="218">
        <f t="shared" si="52"/>
        <v>0</v>
      </c>
      <c r="Q177" s="218">
        <f t="shared" si="52"/>
        <v>5171.16</v>
      </c>
      <c r="R177" s="218">
        <f t="shared" si="52"/>
        <v>5171.16</v>
      </c>
      <c r="S177" s="218">
        <f t="shared" si="52"/>
        <v>2000</v>
      </c>
      <c r="T177" s="218">
        <f t="shared" si="52"/>
        <v>2000</v>
      </c>
      <c r="U177" s="218">
        <f t="shared" si="52"/>
        <v>3107.55</v>
      </c>
      <c r="V177" s="218">
        <f t="shared" si="52"/>
        <v>3107.55</v>
      </c>
      <c r="W177" s="218">
        <f t="shared" si="52"/>
        <v>1905.39</v>
      </c>
      <c r="X177" s="218">
        <f t="shared" si="52"/>
        <v>1905.3879999999999</v>
      </c>
      <c r="Y177" s="218">
        <f t="shared" si="52"/>
        <v>3098.68</v>
      </c>
      <c r="Z177" s="218">
        <f t="shared" si="52"/>
        <v>3098.68</v>
      </c>
      <c r="AA177" s="218">
        <f t="shared" si="52"/>
        <v>1035.31</v>
      </c>
      <c r="AB177" s="218">
        <f t="shared" si="52"/>
        <v>1035.21</v>
      </c>
      <c r="AC177" s="218">
        <f t="shared" si="52"/>
        <v>2413</v>
      </c>
      <c r="AD177" s="218">
        <f t="shared" si="52"/>
        <v>0</v>
      </c>
      <c r="AE177" s="218">
        <f t="shared" si="52"/>
        <v>2749</v>
      </c>
      <c r="AF177" s="218">
        <f t="shared" si="52"/>
        <v>0</v>
      </c>
      <c r="AG177" s="218">
        <f t="shared" si="52"/>
        <v>2648.22</v>
      </c>
      <c r="AH177" s="219">
        <f>AH173</f>
        <v>0</v>
      </c>
    </row>
    <row r="178" spans="1:250">
      <c r="A178" s="43"/>
      <c r="B178" s="17" t="s">
        <v>17</v>
      </c>
      <c r="C178" s="14"/>
      <c r="D178" s="14"/>
      <c r="E178" s="75"/>
      <c r="F178" s="21"/>
      <c r="G178" s="21"/>
      <c r="H178" s="21"/>
      <c r="I178" s="21"/>
      <c r="J178" s="21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</row>
    <row r="179" spans="1:250" ht="21.75" customHeight="1">
      <c r="A179" s="296"/>
      <c r="B179" s="287" t="s">
        <v>76</v>
      </c>
      <c r="C179" s="287"/>
      <c r="D179" s="224" t="s">
        <v>63</v>
      </c>
      <c r="E179" s="199">
        <f>E182+E185</f>
        <v>162424.02000000002</v>
      </c>
      <c r="F179" s="159">
        <f t="shared" ref="F179:F187" si="53">I179+K179+M179+Q179+S179+U179+W179+Y179+AA179+AC179+AE179+AG179</f>
        <v>162424.01999999996</v>
      </c>
      <c r="G179" s="199">
        <f t="shared" ref="G179:AH179" si="54">G182+G185</f>
        <v>107304.01115999999</v>
      </c>
      <c r="H179" s="199" t="e">
        <f t="shared" si="54"/>
        <v>#DIV/0!</v>
      </c>
      <c r="I179" s="199">
        <f t="shared" si="54"/>
        <v>12571.98</v>
      </c>
      <c r="J179" s="199">
        <f t="shared" si="54"/>
        <v>12571.98</v>
      </c>
      <c r="K179" s="199">
        <f t="shared" si="54"/>
        <v>626.71</v>
      </c>
      <c r="L179" s="199">
        <f t="shared" si="54"/>
        <v>626.71796999999992</v>
      </c>
      <c r="M179" s="199">
        <f t="shared" si="54"/>
        <v>9017.18</v>
      </c>
      <c r="N179" s="199">
        <f t="shared" si="54"/>
        <v>9016.7659999999996</v>
      </c>
      <c r="O179" s="199">
        <f t="shared" si="54"/>
        <v>22215.87</v>
      </c>
      <c r="P179" s="199">
        <f t="shared" si="54"/>
        <v>22215.463969999997</v>
      </c>
      <c r="Q179" s="199">
        <f t="shared" si="54"/>
        <v>12177.239999999998</v>
      </c>
      <c r="R179" s="199">
        <f t="shared" si="54"/>
        <v>12177.236439999999</v>
      </c>
      <c r="S179" s="199">
        <f t="shared" si="54"/>
        <v>8277.6</v>
      </c>
      <c r="T179" s="199">
        <f t="shared" si="54"/>
        <v>7942.01775</v>
      </c>
      <c r="U179" s="199">
        <f t="shared" si="54"/>
        <v>9188.84</v>
      </c>
      <c r="V179" s="199">
        <f t="shared" si="54"/>
        <v>8465.530999999999</v>
      </c>
      <c r="W179" s="199">
        <f t="shared" si="54"/>
        <v>20576.629999999997</v>
      </c>
      <c r="X179" s="199">
        <f t="shared" si="54"/>
        <v>20576.622000000003</v>
      </c>
      <c r="Y179" s="199">
        <f t="shared" si="54"/>
        <v>17272.05</v>
      </c>
      <c r="Z179" s="199">
        <f t="shared" si="54"/>
        <v>17272.050999999999</v>
      </c>
      <c r="AA179" s="199">
        <f t="shared" si="54"/>
        <v>18655.129999999997</v>
      </c>
      <c r="AB179" s="199">
        <f t="shared" si="54"/>
        <v>18655.089</v>
      </c>
      <c r="AC179" s="199">
        <f t="shared" si="54"/>
        <v>12818.7</v>
      </c>
      <c r="AD179" s="199">
        <f t="shared" si="54"/>
        <v>0</v>
      </c>
      <c r="AE179" s="199">
        <f t="shared" si="54"/>
        <v>24279.85</v>
      </c>
      <c r="AF179" s="199">
        <f t="shared" si="54"/>
        <v>0</v>
      </c>
      <c r="AG179" s="199">
        <f t="shared" si="54"/>
        <v>16962.11</v>
      </c>
      <c r="AH179" s="199">
        <f t="shared" si="54"/>
        <v>0</v>
      </c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</row>
    <row r="180" spans="1:250" ht="19.5" customHeight="1">
      <c r="A180" s="296"/>
      <c r="B180" s="287"/>
      <c r="C180" s="287"/>
      <c r="D180" s="38" t="s">
        <v>14</v>
      </c>
      <c r="E180" s="221">
        <f>E183+E186</f>
        <v>47450.099999999991</v>
      </c>
      <c r="F180" s="161">
        <f t="shared" si="53"/>
        <v>47450.1</v>
      </c>
      <c r="G180" s="221">
        <f t="shared" ref="G180:AH180" si="55">G183+G186</f>
        <v>27789.074999999997</v>
      </c>
      <c r="H180" s="221" t="e">
        <f t="shared" si="55"/>
        <v>#DIV/0!</v>
      </c>
      <c r="I180" s="221">
        <f t="shared" si="55"/>
        <v>0</v>
      </c>
      <c r="J180" s="221">
        <f t="shared" si="55"/>
        <v>0</v>
      </c>
      <c r="K180" s="221">
        <f t="shared" si="55"/>
        <v>0</v>
      </c>
      <c r="L180" s="221">
        <f t="shared" si="55"/>
        <v>0</v>
      </c>
      <c r="M180" s="221">
        <f t="shared" si="55"/>
        <v>0</v>
      </c>
      <c r="N180" s="221">
        <f t="shared" si="55"/>
        <v>0</v>
      </c>
      <c r="O180" s="221">
        <f t="shared" si="55"/>
        <v>0</v>
      </c>
      <c r="P180" s="221">
        <f t="shared" si="55"/>
        <v>0</v>
      </c>
      <c r="Q180" s="221">
        <f t="shared" si="55"/>
        <v>0</v>
      </c>
      <c r="R180" s="221">
        <f t="shared" si="55"/>
        <v>0</v>
      </c>
      <c r="S180" s="221">
        <f t="shared" si="55"/>
        <v>0</v>
      </c>
      <c r="T180" s="221">
        <f t="shared" si="55"/>
        <v>0</v>
      </c>
      <c r="U180" s="221">
        <f t="shared" si="55"/>
        <v>1203.57</v>
      </c>
      <c r="V180" s="221">
        <f t="shared" si="55"/>
        <v>1203.5650000000001</v>
      </c>
      <c r="W180" s="221">
        <f t="shared" si="55"/>
        <v>8376.4599999999991</v>
      </c>
      <c r="X180" s="221">
        <f t="shared" si="55"/>
        <v>8376.4599999999991</v>
      </c>
      <c r="Y180" s="221">
        <f t="shared" si="55"/>
        <v>11026.279999999999</v>
      </c>
      <c r="Z180" s="221">
        <f>Z183+Z186</f>
        <v>11026.279999999999</v>
      </c>
      <c r="AA180" s="221">
        <f t="shared" si="55"/>
        <v>7182.76</v>
      </c>
      <c r="AB180" s="221">
        <f t="shared" si="55"/>
        <v>7182.7699999999995</v>
      </c>
      <c r="AC180" s="221">
        <f t="shared" si="55"/>
        <v>5815.1</v>
      </c>
      <c r="AD180" s="221">
        <f t="shared" si="55"/>
        <v>0</v>
      </c>
      <c r="AE180" s="221">
        <f t="shared" si="55"/>
        <v>13845.93</v>
      </c>
      <c r="AF180" s="221">
        <f t="shared" si="55"/>
        <v>0</v>
      </c>
      <c r="AG180" s="221">
        <f t="shared" si="55"/>
        <v>0</v>
      </c>
      <c r="AH180" s="221">
        <f t="shared" si="55"/>
        <v>0</v>
      </c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</row>
    <row r="181" spans="1:250" ht="21" customHeight="1">
      <c r="A181" s="296"/>
      <c r="B181" s="287"/>
      <c r="C181" s="287"/>
      <c r="D181" s="38" t="s">
        <v>15</v>
      </c>
      <c r="E181" s="215">
        <f>E184+E187</f>
        <v>114973.92000000003</v>
      </c>
      <c r="F181" s="162">
        <f t="shared" si="53"/>
        <v>114973.92</v>
      </c>
      <c r="G181" s="215">
        <f t="shared" ref="G181:AH181" si="56">G184+G187</f>
        <v>79514.936159999997</v>
      </c>
      <c r="H181" s="215">
        <f t="shared" si="56"/>
        <v>214.18864490885326</v>
      </c>
      <c r="I181" s="215">
        <f t="shared" si="56"/>
        <v>12571.98</v>
      </c>
      <c r="J181" s="215">
        <f t="shared" si="56"/>
        <v>12571.98</v>
      </c>
      <c r="K181" s="215">
        <f t="shared" si="56"/>
        <v>626.71</v>
      </c>
      <c r="L181" s="215">
        <f t="shared" si="56"/>
        <v>626.71796999999992</v>
      </c>
      <c r="M181" s="215">
        <f t="shared" si="56"/>
        <v>9017.18</v>
      </c>
      <c r="N181" s="215">
        <f t="shared" si="56"/>
        <v>9016.7659999999996</v>
      </c>
      <c r="O181" s="215">
        <f t="shared" si="56"/>
        <v>16835.66</v>
      </c>
      <c r="P181" s="215">
        <f t="shared" si="56"/>
        <v>16835.664060000003</v>
      </c>
      <c r="Q181" s="215">
        <f t="shared" si="56"/>
        <v>12177.239999999998</v>
      </c>
      <c r="R181" s="215">
        <f t="shared" si="56"/>
        <v>12177.236439999999</v>
      </c>
      <c r="S181" s="215">
        <f t="shared" si="56"/>
        <v>8277.6</v>
      </c>
      <c r="T181" s="215">
        <f t="shared" si="56"/>
        <v>7942.01775</v>
      </c>
      <c r="U181" s="215">
        <f t="shared" si="56"/>
        <v>7985.27</v>
      </c>
      <c r="V181" s="215">
        <f t="shared" si="56"/>
        <v>7261.9659999999994</v>
      </c>
      <c r="W181" s="215">
        <f t="shared" si="56"/>
        <v>12200.17</v>
      </c>
      <c r="X181" s="215">
        <f t="shared" si="56"/>
        <v>12200.162000000002</v>
      </c>
      <c r="Y181" s="215">
        <f t="shared" si="56"/>
        <v>6245.77</v>
      </c>
      <c r="Z181" s="215">
        <f t="shared" si="56"/>
        <v>6245.7709999999997</v>
      </c>
      <c r="AA181" s="215">
        <f t="shared" si="56"/>
        <v>11472.369999999999</v>
      </c>
      <c r="AB181" s="215">
        <f t="shared" si="56"/>
        <v>11472.319</v>
      </c>
      <c r="AC181" s="215">
        <f t="shared" si="56"/>
        <v>7003.6</v>
      </c>
      <c r="AD181" s="215">
        <f t="shared" si="56"/>
        <v>0</v>
      </c>
      <c r="AE181" s="215">
        <f t="shared" si="56"/>
        <v>10433.92</v>
      </c>
      <c r="AF181" s="215">
        <f t="shared" si="56"/>
        <v>0</v>
      </c>
      <c r="AG181" s="215">
        <f t="shared" si="56"/>
        <v>16962.11</v>
      </c>
      <c r="AH181" s="215">
        <f t="shared" si="56"/>
        <v>0</v>
      </c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</row>
    <row r="182" spans="1:250" ht="18.75" customHeight="1">
      <c r="A182" s="296"/>
      <c r="B182" s="287" t="s">
        <v>65</v>
      </c>
      <c r="C182" s="287"/>
      <c r="D182" s="225" t="s">
        <v>63</v>
      </c>
      <c r="E182" s="199">
        <f>E183+E184</f>
        <v>52947.499999999993</v>
      </c>
      <c r="F182" s="202">
        <f t="shared" si="53"/>
        <v>52947.5</v>
      </c>
      <c r="G182" s="199">
        <f t="shared" ref="G182:AH182" si="57">G183+G184</f>
        <v>31795.839999999997</v>
      </c>
      <c r="H182" s="201">
        <f t="shared" si="57"/>
        <v>16.180750380260267</v>
      </c>
      <c r="I182" s="199">
        <f t="shared" si="57"/>
        <v>0</v>
      </c>
      <c r="J182" s="199">
        <f t="shared" si="57"/>
        <v>0</v>
      </c>
      <c r="K182" s="199">
        <f t="shared" si="57"/>
        <v>0</v>
      </c>
      <c r="L182" s="199">
        <f t="shared" si="57"/>
        <v>0</v>
      </c>
      <c r="M182" s="199">
        <f t="shared" si="57"/>
        <v>0</v>
      </c>
      <c r="N182" s="199">
        <f t="shared" si="57"/>
        <v>0</v>
      </c>
      <c r="O182" s="200">
        <f t="shared" ref="O182:P185" si="58">I182+K182+M182</f>
        <v>0</v>
      </c>
      <c r="P182" s="200">
        <f t="shared" si="58"/>
        <v>0</v>
      </c>
      <c r="Q182" s="199">
        <f t="shared" si="57"/>
        <v>0</v>
      </c>
      <c r="R182" s="199">
        <f t="shared" si="57"/>
        <v>0</v>
      </c>
      <c r="S182" s="199">
        <f t="shared" si="57"/>
        <v>0</v>
      </c>
      <c r="T182" s="199">
        <f t="shared" si="57"/>
        <v>0</v>
      </c>
      <c r="U182" s="199">
        <f t="shared" si="57"/>
        <v>1683.9</v>
      </c>
      <c r="V182" s="199">
        <f t="shared" si="57"/>
        <v>1683.89</v>
      </c>
      <c r="W182" s="199">
        <f t="shared" si="57"/>
        <v>8817.33</v>
      </c>
      <c r="X182" s="199">
        <f t="shared" si="57"/>
        <v>8817.3269999999993</v>
      </c>
      <c r="Y182" s="201">
        <f t="shared" si="57"/>
        <v>11606.88</v>
      </c>
      <c r="Z182" s="201">
        <f t="shared" si="57"/>
        <v>11606.88</v>
      </c>
      <c r="AA182" s="201">
        <f t="shared" si="57"/>
        <v>9687.73</v>
      </c>
      <c r="AB182" s="201">
        <f t="shared" si="57"/>
        <v>9687.7429999999986</v>
      </c>
      <c r="AC182" s="201">
        <f t="shared" si="57"/>
        <v>6576.81</v>
      </c>
      <c r="AD182" s="201">
        <f t="shared" si="57"/>
        <v>0</v>
      </c>
      <c r="AE182" s="201">
        <f t="shared" si="57"/>
        <v>14574.85</v>
      </c>
      <c r="AF182" s="201">
        <f t="shared" si="57"/>
        <v>0</v>
      </c>
      <c r="AG182" s="201">
        <f t="shared" si="57"/>
        <v>0</v>
      </c>
      <c r="AH182" s="201">
        <f t="shared" si="57"/>
        <v>0</v>
      </c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</row>
    <row r="183" spans="1:250" ht="21.75" customHeight="1">
      <c r="A183" s="296"/>
      <c r="B183" s="287"/>
      <c r="C183" s="287"/>
      <c r="D183" s="38" t="s">
        <v>14</v>
      </c>
      <c r="E183" s="226">
        <f>E139+E32+E29</f>
        <v>47450.099999999991</v>
      </c>
      <c r="F183" s="205">
        <f t="shared" si="53"/>
        <v>47450.1</v>
      </c>
      <c r="G183" s="226">
        <f>G29+G32+G139</f>
        <v>27789.074999999997</v>
      </c>
      <c r="H183" s="226">
        <f>H29+H32</f>
        <v>0</v>
      </c>
      <c r="I183" s="226">
        <f t="shared" ref="I183:AH183" si="59">I29+I32+I139</f>
        <v>0</v>
      </c>
      <c r="J183" s="226">
        <f t="shared" si="59"/>
        <v>0</v>
      </c>
      <c r="K183" s="226">
        <f t="shared" si="59"/>
        <v>0</v>
      </c>
      <c r="L183" s="226">
        <f t="shared" si="59"/>
        <v>0</v>
      </c>
      <c r="M183" s="226">
        <f t="shared" si="59"/>
        <v>0</v>
      </c>
      <c r="N183" s="226">
        <f t="shared" si="59"/>
        <v>0</v>
      </c>
      <c r="O183" s="226">
        <f t="shared" si="59"/>
        <v>0</v>
      </c>
      <c r="P183" s="226">
        <f t="shared" si="59"/>
        <v>0</v>
      </c>
      <c r="Q183" s="226">
        <f t="shared" si="59"/>
        <v>0</v>
      </c>
      <c r="R183" s="226">
        <f t="shared" si="59"/>
        <v>0</v>
      </c>
      <c r="S183" s="226">
        <f t="shared" si="59"/>
        <v>0</v>
      </c>
      <c r="T183" s="226">
        <f t="shared" si="59"/>
        <v>0</v>
      </c>
      <c r="U183" s="226">
        <f t="shared" si="59"/>
        <v>1203.57</v>
      </c>
      <c r="V183" s="226">
        <f t="shared" si="59"/>
        <v>1203.5650000000001</v>
      </c>
      <c r="W183" s="226">
        <f t="shared" si="59"/>
        <v>8376.4599999999991</v>
      </c>
      <c r="X183" s="226">
        <f t="shared" si="59"/>
        <v>8376.4599999999991</v>
      </c>
      <c r="Y183" s="226">
        <f t="shared" si="59"/>
        <v>11026.279999999999</v>
      </c>
      <c r="Z183" s="226">
        <f t="shared" si="59"/>
        <v>11026.279999999999</v>
      </c>
      <c r="AA183" s="226">
        <f t="shared" si="59"/>
        <v>7182.76</v>
      </c>
      <c r="AB183" s="226">
        <f t="shared" si="59"/>
        <v>7182.7699999999995</v>
      </c>
      <c r="AC183" s="226">
        <f t="shared" si="59"/>
        <v>5815.1</v>
      </c>
      <c r="AD183" s="226">
        <f t="shared" si="59"/>
        <v>0</v>
      </c>
      <c r="AE183" s="226">
        <f t="shared" si="59"/>
        <v>13845.93</v>
      </c>
      <c r="AF183" s="226">
        <f t="shared" si="59"/>
        <v>0</v>
      </c>
      <c r="AG183" s="226">
        <f t="shared" si="59"/>
        <v>0</v>
      </c>
      <c r="AH183" s="226">
        <f t="shared" si="59"/>
        <v>0</v>
      </c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</row>
    <row r="184" spans="1:250" ht="19.5" customHeight="1">
      <c r="A184" s="296"/>
      <c r="B184" s="287"/>
      <c r="C184" s="287"/>
      <c r="D184" s="38" t="s">
        <v>15</v>
      </c>
      <c r="E184" s="215">
        <f>E140+E33+E30</f>
        <v>5497.4</v>
      </c>
      <c r="F184" s="206">
        <f t="shared" si="53"/>
        <v>5497.4</v>
      </c>
      <c r="G184" s="215">
        <f>J184+L184+N184+R184+T184+V184+X184+Z184+AB184+AD184+AF184+AH184</f>
        <v>4006.7649999999999</v>
      </c>
      <c r="H184" s="215">
        <f t="shared" ref="H184:N184" si="60">H30+H33+H140</f>
        <v>16.180750380260267</v>
      </c>
      <c r="I184" s="215">
        <f t="shared" si="60"/>
        <v>0</v>
      </c>
      <c r="J184" s="215">
        <f t="shared" si="60"/>
        <v>0</v>
      </c>
      <c r="K184" s="215">
        <f t="shared" si="60"/>
        <v>0</v>
      </c>
      <c r="L184" s="215">
        <f t="shared" si="60"/>
        <v>0</v>
      </c>
      <c r="M184" s="215">
        <f t="shared" si="60"/>
        <v>0</v>
      </c>
      <c r="N184" s="215">
        <f t="shared" si="60"/>
        <v>0</v>
      </c>
      <c r="O184" s="210">
        <f t="shared" si="58"/>
        <v>0</v>
      </c>
      <c r="P184" s="210">
        <f t="shared" si="58"/>
        <v>0</v>
      </c>
      <c r="Q184" s="215">
        <f>Q30+Q33+Q140</f>
        <v>0</v>
      </c>
      <c r="R184" s="215">
        <f>R30+R33+R140</f>
        <v>0</v>
      </c>
      <c r="S184" s="215">
        <f t="shared" ref="S184:AH184" si="61">S30+S33+S140</f>
        <v>0</v>
      </c>
      <c r="T184" s="215">
        <f t="shared" si="61"/>
        <v>0</v>
      </c>
      <c r="U184" s="215">
        <f t="shared" si="61"/>
        <v>480.33000000000004</v>
      </c>
      <c r="V184" s="215">
        <f t="shared" si="61"/>
        <v>480.32500000000005</v>
      </c>
      <c r="W184" s="215">
        <f t="shared" si="61"/>
        <v>440.87</v>
      </c>
      <c r="X184" s="215">
        <f t="shared" si="61"/>
        <v>440.86700000000002</v>
      </c>
      <c r="Y184" s="215">
        <f t="shared" si="61"/>
        <v>580.6</v>
      </c>
      <c r="Z184" s="215">
        <f t="shared" si="61"/>
        <v>580.6</v>
      </c>
      <c r="AA184" s="215">
        <f t="shared" si="61"/>
        <v>2504.9699999999998</v>
      </c>
      <c r="AB184" s="215">
        <f t="shared" si="61"/>
        <v>2504.973</v>
      </c>
      <c r="AC184" s="215">
        <f t="shared" si="61"/>
        <v>761.71</v>
      </c>
      <c r="AD184" s="215">
        <f t="shared" si="61"/>
        <v>0</v>
      </c>
      <c r="AE184" s="215">
        <f t="shared" si="61"/>
        <v>728.92</v>
      </c>
      <c r="AF184" s="215">
        <f t="shared" si="61"/>
        <v>0</v>
      </c>
      <c r="AG184" s="215">
        <f t="shared" si="61"/>
        <v>0</v>
      </c>
      <c r="AH184" s="215">
        <f t="shared" si="61"/>
        <v>0</v>
      </c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</row>
    <row r="185" spans="1:250" s="203" customFormat="1" ht="19.5" customHeight="1">
      <c r="A185" s="296"/>
      <c r="B185" s="287" t="s">
        <v>66</v>
      </c>
      <c r="C185" s="287"/>
      <c r="D185" s="225" t="s">
        <v>63</v>
      </c>
      <c r="E185" s="222">
        <f>E186+E187</f>
        <v>109476.52000000003</v>
      </c>
      <c r="F185" s="200">
        <f t="shared" si="53"/>
        <v>109476.51999999999</v>
      </c>
      <c r="G185" s="222">
        <f t="shared" ref="G185:AH185" si="62">G186+G187</f>
        <v>75508.171159999998</v>
      </c>
      <c r="H185" s="222" t="e">
        <f t="shared" si="62"/>
        <v>#DIV/0!</v>
      </c>
      <c r="I185" s="222">
        <f t="shared" si="62"/>
        <v>12571.98</v>
      </c>
      <c r="J185" s="222">
        <f t="shared" si="62"/>
        <v>12571.98</v>
      </c>
      <c r="K185" s="222">
        <f t="shared" si="62"/>
        <v>626.71</v>
      </c>
      <c r="L185" s="222">
        <f t="shared" si="62"/>
        <v>626.71796999999992</v>
      </c>
      <c r="M185" s="222">
        <f t="shared" si="62"/>
        <v>9017.18</v>
      </c>
      <c r="N185" s="222">
        <f t="shared" si="62"/>
        <v>9016.7659999999996</v>
      </c>
      <c r="O185" s="200">
        <f t="shared" si="58"/>
        <v>22215.87</v>
      </c>
      <c r="P185" s="200">
        <f t="shared" si="58"/>
        <v>22215.463969999997</v>
      </c>
      <c r="Q185" s="222">
        <f t="shared" si="62"/>
        <v>12177.239999999998</v>
      </c>
      <c r="R185" s="222">
        <f t="shared" si="62"/>
        <v>12177.236439999999</v>
      </c>
      <c r="S185" s="222">
        <f t="shared" si="62"/>
        <v>8277.6</v>
      </c>
      <c r="T185" s="222">
        <f t="shared" si="62"/>
        <v>7942.01775</v>
      </c>
      <c r="U185" s="222">
        <f t="shared" si="62"/>
        <v>7504.9400000000005</v>
      </c>
      <c r="V185" s="222">
        <f t="shared" si="62"/>
        <v>6781.6409999999996</v>
      </c>
      <c r="W185" s="222">
        <f t="shared" si="62"/>
        <v>11759.3</v>
      </c>
      <c r="X185" s="222">
        <f t="shared" si="62"/>
        <v>11759.295000000002</v>
      </c>
      <c r="Y185" s="222">
        <f t="shared" si="62"/>
        <v>5665.17</v>
      </c>
      <c r="Z185" s="222">
        <f t="shared" si="62"/>
        <v>5665.1709999999994</v>
      </c>
      <c r="AA185" s="222">
        <f t="shared" si="62"/>
        <v>8967.4</v>
      </c>
      <c r="AB185" s="222">
        <f t="shared" si="62"/>
        <v>8967.3459999999995</v>
      </c>
      <c r="AC185" s="222">
        <f t="shared" si="62"/>
        <v>6241.89</v>
      </c>
      <c r="AD185" s="222">
        <f t="shared" si="62"/>
        <v>0</v>
      </c>
      <c r="AE185" s="222">
        <f t="shared" si="62"/>
        <v>9705</v>
      </c>
      <c r="AF185" s="222">
        <f t="shared" si="62"/>
        <v>0</v>
      </c>
      <c r="AG185" s="222">
        <f t="shared" si="62"/>
        <v>16962.11</v>
      </c>
      <c r="AH185" s="222">
        <f t="shared" si="62"/>
        <v>0</v>
      </c>
      <c r="AI185" s="223"/>
    </row>
    <row r="186" spans="1:250" s="203" customFormat="1" ht="19.5" customHeight="1">
      <c r="A186" s="296"/>
      <c r="B186" s="287"/>
      <c r="C186" s="287"/>
      <c r="D186" s="38" t="s">
        <v>14</v>
      </c>
      <c r="E186" s="221">
        <f>E151+E148+E145+E60</f>
        <v>0</v>
      </c>
      <c r="F186" s="205">
        <f t="shared" si="53"/>
        <v>0</v>
      </c>
      <c r="G186" s="221">
        <f t="shared" ref="G186:AH186" si="63">G151+G148+G145+G60</f>
        <v>0</v>
      </c>
      <c r="H186" s="221" t="e">
        <f t="shared" si="63"/>
        <v>#DIV/0!</v>
      </c>
      <c r="I186" s="221">
        <f t="shared" si="63"/>
        <v>0</v>
      </c>
      <c r="J186" s="221">
        <f t="shared" si="63"/>
        <v>0</v>
      </c>
      <c r="K186" s="221">
        <f t="shared" si="63"/>
        <v>0</v>
      </c>
      <c r="L186" s="221">
        <f t="shared" si="63"/>
        <v>0</v>
      </c>
      <c r="M186" s="221">
        <f t="shared" si="63"/>
        <v>0</v>
      </c>
      <c r="N186" s="221">
        <f t="shared" si="63"/>
        <v>0</v>
      </c>
      <c r="O186" s="221">
        <f t="shared" si="63"/>
        <v>0</v>
      </c>
      <c r="P186" s="221">
        <f t="shared" si="63"/>
        <v>0</v>
      </c>
      <c r="Q186" s="221">
        <f t="shared" si="63"/>
        <v>0</v>
      </c>
      <c r="R186" s="221">
        <f t="shared" si="63"/>
        <v>0</v>
      </c>
      <c r="S186" s="221">
        <f t="shared" si="63"/>
        <v>0</v>
      </c>
      <c r="T186" s="221">
        <f t="shared" si="63"/>
        <v>0</v>
      </c>
      <c r="U186" s="221">
        <f t="shared" si="63"/>
        <v>0</v>
      </c>
      <c r="V186" s="221">
        <f t="shared" si="63"/>
        <v>0</v>
      </c>
      <c r="W186" s="221">
        <f t="shared" si="63"/>
        <v>0</v>
      </c>
      <c r="X186" s="221">
        <f t="shared" si="63"/>
        <v>0</v>
      </c>
      <c r="Y186" s="221">
        <f t="shared" si="63"/>
        <v>0</v>
      </c>
      <c r="Z186" s="221">
        <f t="shared" si="63"/>
        <v>0</v>
      </c>
      <c r="AA186" s="221">
        <f t="shared" si="63"/>
        <v>0</v>
      </c>
      <c r="AB186" s="221">
        <f t="shared" si="63"/>
        <v>0</v>
      </c>
      <c r="AC186" s="221">
        <f t="shared" si="63"/>
        <v>0</v>
      </c>
      <c r="AD186" s="221">
        <f t="shared" si="63"/>
        <v>0</v>
      </c>
      <c r="AE186" s="221">
        <f t="shared" si="63"/>
        <v>0</v>
      </c>
      <c r="AF186" s="221">
        <f t="shared" si="63"/>
        <v>0</v>
      </c>
      <c r="AG186" s="221">
        <f t="shared" si="63"/>
        <v>0</v>
      </c>
      <c r="AH186" s="221">
        <f t="shared" si="63"/>
        <v>0</v>
      </c>
    </row>
    <row r="187" spans="1:250" s="203" customFormat="1" ht="18.75" customHeight="1">
      <c r="A187" s="296"/>
      <c r="B187" s="287"/>
      <c r="C187" s="287"/>
      <c r="D187" s="77" t="s">
        <v>15</v>
      </c>
      <c r="E187" s="215">
        <f>E173+E158+E157+E152+E149+E146+E143+E61</f>
        <v>109476.52000000003</v>
      </c>
      <c r="F187" s="220">
        <f t="shared" si="53"/>
        <v>109476.51999999999</v>
      </c>
      <c r="G187" s="215">
        <f>J187+L187+N187+R187+T187+V187+X187+Z187+AB187+AD187+AF187+AH187</f>
        <v>75508.171159999998</v>
      </c>
      <c r="H187" s="215">
        <f t="shared" ref="H187:AH187" si="64">H173+H158+H157+H152+H149+H146+H143+H61</f>
        <v>198.007894528593</v>
      </c>
      <c r="I187" s="215">
        <f t="shared" si="64"/>
        <v>12571.98</v>
      </c>
      <c r="J187" s="215">
        <f t="shared" si="64"/>
        <v>12571.98</v>
      </c>
      <c r="K187" s="215">
        <f t="shared" si="64"/>
        <v>626.71</v>
      </c>
      <c r="L187" s="215">
        <f t="shared" si="64"/>
        <v>626.71796999999992</v>
      </c>
      <c r="M187" s="215">
        <f t="shared" si="64"/>
        <v>9017.18</v>
      </c>
      <c r="N187" s="215">
        <f t="shared" si="64"/>
        <v>9016.7659999999996</v>
      </c>
      <c r="O187" s="215">
        <f t="shared" si="64"/>
        <v>16835.66</v>
      </c>
      <c r="P187" s="215">
        <f t="shared" si="64"/>
        <v>16835.664060000003</v>
      </c>
      <c r="Q187" s="215">
        <f t="shared" si="64"/>
        <v>12177.239999999998</v>
      </c>
      <c r="R187" s="215">
        <f t="shared" si="64"/>
        <v>12177.236439999999</v>
      </c>
      <c r="S187" s="215">
        <f t="shared" si="64"/>
        <v>8277.6</v>
      </c>
      <c r="T187" s="215">
        <f t="shared" si="64"/>
        <v>7942.01775</v>
      </c>
      <c r="U187" s="215">
        <f t="shared" si="64"/>
        <v>7504.9400000000005</v>
      </c>
      <c r="V187" s="215">
        <f t="shared" si="64"/>
        <v>6781.6409999999996</v>
      </c>
      <c r="W187" s="215">
        <f t="shared" si="64"/>
        <v>11759.3</v>
      </c>
      <c r="X187" s="215">
        <f t="shared" si="64"/>
        <v>11759.295000000002</v>
      </c>
      <c r="Y187" s="215">
        <f t="shared" si="64"/>
        <v>5665.17</v>
      </c>
      <c r="Z187" s="215">
        <f t="shared" si="64"/>
        <v>5665.1709999999994</v>
      </c>
      <c r="AA187" s="215">
        <f t="shared" si="64"/>
        <v>8967.4</v>
      </c>
      <c r="AB187" s="215">
        <f t="shared" si="64"/>
        <v>8967.3459999999995</v>
      </c>
      <c r="AC187" s="215">
        <f t="shared" si="64"/>
        <v>6241.89</v>
      </c>
      <c r="AD187" s="215">
        <f t="shared" si="64"/>
        <v>0</v>
      </c>
      <c r="AE187" s="215">
        <f t="shared" si="64"/>
        <v>9705</v>
      </c>
      <c r="AF187" s="215">
        <f t="shared" si="64"/>
        <v>0</v>
      </c>
      <c r="AG187" s="215">
        <f t="shared" si="64"/>
        <v>16962.11</v>
      </c>
      <c r="AH187" s="215">
        <f t="shared" si="64"/>
        <v>0</v>
      </c>
    </row>
    <row r="188" spans="1:250">
      <c r="E188" s="87">
        <f t="shared" ref="E188:AH188" si="65">E182+E185</f>
        <v>162424.02000000002</v>
      </c>
      <c r="F188" s="87">
        <f t="shared" si="65"/>
        <v>162424.01999999999</v>
      </c>
      <c r="G188" s="158"/>
      <c r="H188" s="87" t="e">
        <f t="shared" si="65"/>
        <v>#DIV/0!</v>
      </c>
      <c r="I188" s="87">
        <f t="shared" si="65"/>
        <v>12571.98</v>
      </c>
      <c r="J188" s="87">
        <f t="shared" si="65"/>
        <v>12571.98</v>
      </c>
      <c r="K188" s="87">
        <f t="shared" si="65"/>
        <v>626.71</v>
      </c>
      <c r="L188" s="87">
        <f t="shared" si="65"/>
        <v>626.71796999999992</v>
      </c>
      <c r="M188" s="87">
        <f t="shared" si="65"/>
        <v>9017.18</v>
      </c>
      <c r="N188" s="87">
        <f t="shared" si="65"/>
        <v>9016.7659999999996</v>
      </c>
      <c r="O188" s="87"/>
      <c r="P188" s="87"/>
      <c r="Q188" s="87">
        <f t="shared" si="65"/>
        <v>12177.239999999998</v>
      </c>
      <c r="R188" s="87">
        <f t="shared" si="65"/>
        <v>12177.236439999999</v>
      </c>
      <c r="S188" s="87">
        <f t="shared" si="65"/>
        <v>8277.6</v>
      </c>
      <c r="T188" s="87">
        <f t="shared" si="65"/>
        <v>7942.01775</v>
      </c>
      <c r="U188" s="87">
        <f t="shared" si="65"/>
        <v>9188.84</v>
      </c>
      <c r="V188" s="87">
        <f t="shared" si="65"/>
        <v>8465.530999999999</v>
      </c>
      <c r="W188" s="87">
        <f t="shared" si="65"/>
        <v>20576.629999999997</v>
      </c>
      <c r="X188" s="87">
        <f t="shared" si="65"/>
        <v>20576.622000000003</v>
      </c>
      <c r="Y188" s="87">
        <f t="shared" si="65"/>
        <v>17272.05</v>
      </c>
      <c r="Z188" s="87">
        <f t="shared" si="65"/>
        <v>17272.050999999999</v>
      </c>
      <c r="AA188" s="87">
        <f t="shared" si="65"/>
        <v>18655.129999999997</v>
      </c>
      <c r="AB188" s="87">
        <f t="shared" si="65"/>
        <v>18655.089</v>
      </c>
      <c r="AC188" s="87">
        <f t="shared" si="65"/>
        <v>12818.7</v>
      </c>
      <c r="AD188" s="87">
        <f t="shared" si="65"/>
        <v>0</v>
      </c>
      <c r="AE188" s="87">
        <f t="shared" si="65"/>
        <v>24279.85</v>
      </c>
      <c r="AF188" s="87">
        <f t="shared" si="65"/>
        <v>0</v>
      </c>
      <c r="AG188" s="87">
        <f t="shared" si="65"/>
        <v>16962.11</v>
      </c>
      <c r="AH188" s="87">
        <f t="shared" si="65"/>
        <v>0</v>
      </c>
    </row>
    <row r="189" spans="1:250" ht="33.75" customHeight="1">
      <c r="B189" s="308" t="s">
        <v>133</v>
      </c>
      <c r="C189" s="308"/>
      <c r="D189" s="308"/>
      <c r="E189" s="129"/>
      <c r="I189" s="3" t="s">
        <v>134</v>
      </c>
    </row>
    <row r="190" spans="1:250">
      <c r="B190" s="154">
        <v>42643</v>
      </c>
      <c r="C190" s="151"/>
      <c r="I190" s="307"/>
      <c r="J190" s="307"/>
    </row>
  </sheetData>
  <sheetProtection selectLockedCells="1" selectUnlockedCells="1"/>
  <mergeCells count="155">
    <mergeCell ref="E44:E45"/>
    <mergeCell ref="E38:E39"/>
    <mergeCell ref="E46:E47"/>
    <mergeCell ref="E40:E41"/>
    <mergeCell ref="B44:B45"/>
    <mergeCell ref="E48:E49"/>
    <mergeCell ref="A19:A21"/>
    <mergeCell ref="A28:A30"/>
    <mergeCell ref="A25:A27"/>
    <mergeCell ref="C28:C30"/>
    <mergeCell ref="B19:C21"/>
    <mergeCell ref="B28:B30"/>
    <mergeCell ref="A42:A43"/>
    <mergeCell ref="C46:C47"/>
    <mergeCell ref="C44:C45"/>
    <mergeCell ref="B23:AH23"/>
    <mergeCell ref="C31:C33"/>
    <mergeCell ref="B38:B39"/>
    <mergeCell ref="C38:C39"/>
    <mergeCell ref="B42:B43"/>
    <mergeCell ref="B37:AG37"/>
    <mergeCell ref="C42:C43"/>
    <mergeCell ref="B31:B33"/>
    <mergeCell ref="C40:C41"/>
    <mergeCell ref="I190:J190"/>
    <mergeCell ref="C147:C149"/>
    <mergeCell ref="B189:D189"/>
    <mergeCell ref="B182:C184"/>
    <mergeCell ref="B179:C181"/>
    <mergeCell ref="B185:C187"/>
    <mergeCell ref="B171:B173"/>
    <mergeCell ref="B168:C170"/>
    <mergeCell ref="B147:B149"/>
    <mergeCell ref="C171:C173"/>
    <mergeCell ref="B167:AH167"/>
    <mergeCell ref="B141:B143"/>
    <mergeCell ref="A126:A128"/>
    <mergeCell ref="B126:B128"/>
    <mergeCell ref="A129:A131"/>
    <mergeCell ref="B129:B131"/>
    <mergeCell ref="C144:C146"/>
    <mergeCell ref="A166:AH166"/>
    <mergeCell ref="A141:A143"/>
    <mergeCell ref="B156:C156"/>
    <mergeCell ref="A144:A146"/>
    <mergeCell ref="C141:C143"/>
    <mergeCell ref="B150:B152"/>
    <mergeCell ref="B144:B146"/>
    <mergeCell ref="B153:C155"/>
    <mergeCell ref="C150:C152"/>
    <mergeCell ref="A150:A152"/>
    <mergeCell ref="A147:A149"/>
    <mergeCell ref="A185:A187"/>
    <mergeCell ref="A182:A184"/>
    <mergeCell ref="A171:A173"/>
    <mergeCell ref="A135:A137"/>
    <mergeCell ref="A138:A140"/>
    <mergeCell ref="A168:A170"/>
    <mergeCell ref="A153:A155"/>
    <mergeCell ref="A179:A181"/>
    <mergeCell ref="A132:A134"/>
    <mergeCell ref="A122:A124"/>
    <mergeCell ref="C95:C96"/>
    <mergeCell ref="C84:C85"/>
    <mergeCell ref="B86:B87"/>
    <mergeCell ref="A84:A85"/>
    <mergeCell ref="B93:B94"/>
    <mergeCell ref="A86:A87"/>
    <mergeCell ref="B48:B49"/>
    <mergeCell ref="C48:C49"/>
    <mergeCell ref="E52:E53"/>
    <mergeCell ref="C52:C53"/>
    <mergeCell ref="C138:C140"/>
    <mergeCell ref="B132:B134"/>
    <mergeCell ref="B135:B137"/>
    <mergeCell ref="B122:B124"/>
    <mergeCell ref="B138:B140"/>
    <mergeCell ref="A16:A18"/>
    <mergeCell ref="B25:C27"/>
    <mergeCell ref="B40:B41"/>
    <mergeCell ref="A31:A33"/>
    <mergeCell ref="A40:A41"/>
    <mergeCell ref="A34:A36"/>
    <mergeCell ref="B34:C36"/>
    <mergeCell ref="B22:AH22"/>
    <mergeCell ref="A38:A39"/>
    <mergeCell ref="B119:B121"/>
    <mergeCell ref="B95:B96"/>
    <mergeCell ref="C97:C98"/>
    <mergeCell ref="A57:A58"/>
    <mergeCell ref="A119:A121"/>
    <mergeCell ref="A115:A117"/>
    <mergeCell ref="A95:A96"/>
    <mergeCell ref="A97:A98"/>
    <mergeCell ref="A82:AG82"/>
    <mergeCell ref="D72:D73"/>
    <mergeCell ref="E84:E85"/>
    <mergeCell ref="C93:C94"/>
    <mergeCell ref="A93:A94"/>
    <mergeCell ref="B92:AG92"/>
    <mergeCell ref="A22:A24"/>
    <mergeCell ref="B24:AH24"/>
    <mergeCell ref="E42:E43"/>
    <mergeCell ref="B50:B51"/>
    <mergeCell ref="C50:C51"/>
    <mergeCell ref="A48:A49"/>
    <mergeCell ref="A55:A56"/>
    <mergeCell ref="C55:C56"/>
    <mergeCell ref="A52:A53"/>
    <mergeCell ref="B52:B53"/>
    <mergeCell ref="A59:A61"/>
    <mergeCell ref="B97:B98"/>
    <mergeCell ref="B83:AG83"/>
    <mergeCell ref="B70:AG70"/>
    <mergeCell ref="C86:C87"/>
    <mergeCell ref="B84:B85"/>
    <mergeCell ref="C57:C58"/>
    <mergeCell ref="C59:C61"/>
    <mergeCell ref="B46:B47"/>
    <mergeCell ref="E50:E51"/>
    <mergeCell ref="A44:A45"/>
    <mergeCell ref="A46:A47"/>
    <mergeCell ref="A50:A51"/>
    <mergeCell ref="B59:B61"/>
    <mergeCell ref="B54:B56"/>
    <mergeCell ref="B57:B58"/>
    <mergeCell ref="A6:A7"/>
    <mergeCell ref="C6:C7"/>
    <mergeCell ref="A12:A14"/>
    <mergeCell ref="B9:AG9"/>
    <mergeCell ref="B11:AG11"/>
    <mergeCell ref="A10:AG10"/>
    <mergeCell ref="F6:F7"/>
    <mergeCell ref="AA6:AB6"/>
    <mergeCell ref="AC6:AD6"/>
    <mergeCell ref="S6:T6"/>
    <mergeCell ref="B16:C18"/>
    <mergeCell ref="B12:C14"/>
    <mergeCell ref="B15:C15"/>
    <mergeCell ref="AG6:AH6"/>
    <mergeCell ref="E6:E7"/>
    <mergeCell ref="Q6:R6"/>
    <mergeCell ref="O6:P6"/>
    <mergeCell ref="M6:N6"/>
    <mergeCell ref="B6:B7"/>
    <mergeCell ref="B3:AG3"/>
    <mergeCell ref="B4:AG4"/>
    <mergeCell ref="I6:J6"/>
    <mergeCell ref="K6:L6"/>
    <mergeCell ref="AE6:AF6"/>
    <mergeCell ref="D6:D7"/>
    <mergeCell ref="U6:V6"/>
    <mergeCell ref="W6:X6"/>
    <mergeCell ref="Y6:Z6"/>
    <mergeCell ref="G6:G7"/>
  </mergeCells>
  <phoneticPr fontId="0" type="noConversion"/>
  <pageMargins left="0.17" right="0.17" top="0.36" bottom="0.17" header="0.39" footer="0.19"/>
  <pageSetup paperSize="9" scale="49" firstPageNumber="0" fitToHeight="0" orientation="landscape" horizontalDpi="300" verticalDpi="300" r:id="rId1"/>
  <headerFooter alignWithMargins="0"/>
  <rowBreaks count="1" manualBreakCount="1">
    <brk id="190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M7" sqref="M7"/>
    </sheetView>
  </sheetViews>
  <sheetFormatPr defaultColWidth="9.140625" defaultRowHeight="12.75"/>
  <cols>
    <col min="1" max="1" width="5.7109375" customWidth="1"/>
    <col min="2" max="2" width="44.5703125" customWidth="1"/>
    <col min="3" max="3" width="10.42578125" customWidth="1"/>
    <col min="4" max="4" width="9.7109375" customWidth="1"/>
    <col min="5" max="5" width="6.28515625" customWidth="1"/>
    <col min="6" max="6" width="7" customWidth="1"/>
    <col min="7" max="7" width="5.7109375" customWidth="1"/>
    <col min="8" max="8" width="6.140625" customWidth="1"/>
    <col min="9" max="9" width="5.7109375" customWidth="1"/>
    <col min="10" max="10" width="6" customWidth="1"/>
    <col min="11" max="11" width="6.140625" customWidth="1"/>
    <col min="12" max="12" width="6" customWidth="1"/>
    <col min="13" max="14" width="7.42578125" customWidth="1"/>
    <col min="15" max="15" width="7" customWidth="1"/>
    <col min="16" max="16" width="7.42578125" customWidth="1"/>
    <col min="17" max="17" width="17.5703125" hidden="1" customWidth="1"/>
  </cols>
  <sheetData>
    <row r="1" spans="1:19" ht="15.75">
      <c r="B1" s="144" t="s">
        <v>174</v>
      </c>
    </row>
    <row r="2" spans="1:19" ht="34.5" customHeight="1">
      <c r="A2" s="318" t="s">
        <v>2</v>
      </c>
      <c r="B2" s="318" t="s">
        <v>0</v>
      </c>
      <c r="C2" s="318" t="s">
        <v>130</v>
      </c>
      <c r="D2" s="318" t="s">
        <v>168</v>
      </c>
      <c r="E2" s="320" t="s">
        <v>131</v>
      </c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2"/>
      <c r="Q2" s="318" t="s">
        <v>1</v>
      </c>
    </row>
    <row r="3" spans="1:19" ht="52.5" customHeight="1">
      <c r="A3" s="319"/>
      <c r="B3" s="319"/>
      <c r="C3" s="319"/>
      <c r="D3" s="319"/>
      <c r="E3" s="152" t="s">
        <v>90</v>
      </c>
      <c r="F3" s="152" t="s">
        <v>91</v>
      </c>
      <c r="G3" s="152" t="s">
        <v>92</v>
      </c>
      <c r="H3" s="152" t="s">
        <v>93</v>
      </c>
      <c r="I3" s="152" t="s">
        <v>94</v>
      </c>
      <c r="J3" s="152" t="s">
        <v>95</v>
      </c>
      <c r="K3" s="152" t="s">
        <v>96</v>
      </c>
      <c r="L3" s="152" t="s">
        <v>97</v>
      </c>
      <c r="M3" s="152" t="s">
        <v>98</v>
      </c>
      <c r="N3" s="152" t="s">
        <v>99</v>
      </c>
      <c r="O3" s="152" t="s">
        <v>100</v>
      </c>
      <c r="P3" s="153" t="s">
        <v>101</v>
      </c>
      <c r="Q3" s="319"/>
    </row>
    <row r="4" spans="1:19">
      <c r="A4" s="145">
        <v>1</v>
      </c>
      <c r="B4" s="145">
        <v>2</v>
      </c>
      <c r="C4" s="145">
        <v>3</v>
      </c>
      <c r="D4" s="145">
        <v>4</v>
      </c>
      <c r="E4" s="145">
        <v>6</v>
      </c>
      <c r="F4" s="145">
        <v>7</v>
      </c>
      <c r="G4" s="145">
        <v>8</v>
      </c>
      <c r="H4" s="145">
        <v>9</v>
      </c>
      <c r="I4" s="145">
        <v>10</v>
      </c>
      <c r="J4" s="145">
        <v>11</v>
      </c>
      <c r="K4" s="145">
        <v>12</v>
      </c>
      <c r="L4" s="145">
        <v>13</v>
      </c>
      <c r="M4" s="145">
        <v>14</v>
      </c>
      <c r="N4" s="145">
        <v>15</v>
      </c>
      <c r="O4" s="145">
        <v>16</v>
      </c>
      <c r="P4" s="145">
        <v>17</v>
      </c>
      <c r="Q4" s="145">
        <v>18</v>
      </c>
    </row>
    <row r="5" spans="1:19" ht="26.25" customHeight="1">
      <c r="A5" s="145">
        <v>1</v>
      </c>
      <c r="B5" s="228" t="s">
        <v>161</v>
      </c>
      <c r="C5" s="148">
        <v>48.5</v>
      </c>
      <c r="D5" s="148">
        <f>C5+0.642</f>
        <v>49.142000000000003</v>
      </c>
      <c r="E5" s="148">
        <v>48.545000000000002</v>
      </c>
      <c r="F5" s="148">
        <v>48.545000000000002</v>
      </c>
      <c r="G5" s="148">
        <v>48.545000000000002</v>
      </c>
      <c r="H5" s="148">
        <v>48.545000000000002</v>
      </c>
      <c r="I5" s="148">
        <v>48.545000000000002</v>
      </c>
      <c r="J5" s="148">
        <v>48.545000000000002</v>
      </c>
      <c r="K5" s="148">
        <v>48.545000000000002</v>
      </c>
      <c r="L5" s="148">
        <v>48.545000000000002</v>
      </c>
      <c r="M5" s="148">
        <v>48.545000000000002</v>
      </c>
      <c r="N5" s="148"/>
      <c r="O5" s="148"/>
      <c r="P5" s="148"/>
      <c r="Q5" s="147">
        <f>P5</f>
        <v>0</v>
      </c>
    </row>
    <row r="6" spans="1:19" ht="40.5" customHeight="1">
      <c r="A6" s="145">
        <v>2</v>
      </c>
      <c r="B6" s="228" t="s">
        <v>162</v>
      </c>
      <c r="C6" s="148">
        <v>48.5</v>
      </c>
      <c r="D6" s="148">
        <f t="shared" ref="D6:M6" si="0">D5</f>
        <v>49.142000000000003</v>
      </c>
      <c r="E6" s="148">
        <f t="shared" si="0"/>
        <v>48.545000000000002</v>
      </c>
      <c r="F6" s="148">
        <f t="shared" si="0"/>
        <v>48.545000000000002</v>
      </c>
      <c r="G6" s="148">
        <f t="shared" si="0"/>
        <v>48.545000000000002</v>
      </c>
      <c r="H6" s="148">
        <f t="shared" si="0"/>
        <v>48.545000000000002</v>
      </c>
      <c r="I6" s="148">
        <f t="shared" si="0"/>
        <v>48.545000000000002</v>
      </c>
      <c r="J6" s="148">
        <f t="shared" si="0"/>
        <v>48.545000000000002</v>
      </c>
      <c r="K6" s="148">
        <f t="shared" si="0"/>
        <v>48.545000000000002</v>
      </c>
      <c r="L6" s="148">
        <f t="shared" si="0"/>
        <v>48.545000000000002</v>
      </c>
      <c r="M6" s="148">
        <f t="shared" si="0"/>
        <v>48.545000000000002</v>
      </c>
      <c r="N6" s="147"/>
      <c r="O6" s="147"/>
      <c r="P6" s="147"/>
      <c r="Q6" s="147">
        <f>Q5</f>
        <v>0</v>
      </c>
    </row>
    <row r="7" spans="1:19" ht="51.75" customHeight="1">
      <c r="A7" s="145">
        <v>3</v>
      </c>
      <c r="B7" s="228" t="s">
        <v>163</v>
      </c>
      <c r="C7" s="148">
        <f t="shared" ref="C7:H7" si="1">C5-C9</f>
        <v>41.8</v>
      </c>
      <c r="D7" s="148">
        <f t="shared" si="1"/>
        <v>42.642000000000003</v>
      </c>
      <c r="E7" s="148">
        <f t="shared" si="1"/>
        <v>41.844999999999999</v>
      </c>
      <c r="F7" s="148">
        <f t="shared" si="1"/>
        <v>41.844999999999999</v>
      </c>
      <c r="G7" s="148">
        <f t="shared" si="1"/>
        <v>41.844999999999999</v>
      </c>
      <c r="H7" s="148">
        <f t="shared" si="1"/>
        <v>41.844999999999999</v>
      </c>
      <c r="I7" s="148">
        <f>I5-I9</f>
        <v>41.844999999999999</v>
      </c>
      <c r="J7" s="148">
        <f>J5-J9</f>
        <v>41.844999999999999</v>
      </c>
      <c r="K7" s="148">
        <f>K5-K9</f>
        <v>41.844999999999999</v>
      </c>
      <c r="L7" s="148">
        <f>L5-L9</f>
        <v>41.844999999999999</v>
      </c>
      <c r="M7" s="147">
        <f>M5-M9</f>
        <v>41.945</v>
      </c>
      <c r="N7" s="148"/>
      <c r="O7" s="148"/>
      <c r="P7" s="148"/>
      <c r="Q7" s="148">
        <v>50.6</v>
      </c>
    </row>
    <row r="8" spans="1:19" ht="38.25" customHeight="1">
      <c r="A8" s="145">
        <v>4</v>
      </c>
      <c r="B8" s="228" t="s">
        <v>164</v>
      </c>
      <c r="C8" s="149">
        <f t="shared" ref="C8:H8" si="2">C5/42.956</f>
        <v>1.129062296303194</v>
      </c>
      <c r="D8" s="149">
        <f t="shared" si="2"/>
        <v>1.1440078219573517</v>
      </c>
      <c r="E8" s="149">
        <f t="shared" si="2"/>
        <v>1.1301098798770834</v>
      </c>
      <c r="F8" s="149">
        <f t="shared" si="2"/>
        <v>1.1301098798770834</v>
      </c>
      <c r="G8" s="149">
        <f t="shared" si="2"/>
        <v>1.1301098798770834</v>
      </c>
      <c r="H8" s="149">
        <f t="shared" si="2"/>
        <v>1.1301098798770834</v>
      </c>
      <c r="I8" s="149">
        <f>I5/42.956</f>
        <v>1.1301098798770834</v>
      </c>
      <c r="J8" s="149">
        <f>J5/42.956</f>
        <v>1.1301098798770834</v>
      </c>
      <c r="K8" s="149">
        <f>K5/42.956</f>
        <v>1.1301098798770834</v>
      </c>
      <c r="L8" s="149">
        <f>L5/42.956</f>
        <v>1.1301098798770834</v>
      </c>
      <c r="M8" s="149">
        <f>M5/42.956</f>
        <v>1.1301098798770834</v>
      </c>
      <c r="N8" s="149"/>
      <c r="O8" s="149"/>
      <c r="P8" s="149"/>
      <c r="Q8" s="149">
        <f>Q5/43.6</f>
        <v>0</v>
      </c>
    </row>
    <row r="9" spans="1:19" ht="53.25" customHeight="1">
      <c r="A9" s="145">
        <v>5</v>
      </c>
      <c r="B9" s="228" t="s">
        <v>165</v>
      </c>
      <c r="C9" s="145">
        <v>6.7</v>
      </c>
      <c r="D9" s="145">
        <v>6.5</v>
      </c>
      <c r="E9" s="145">
        <v>6.7</v>
      </c>
      <c r="F9" s="145">
        <v>6.7</v>
      </c>
      <c r="G9" s="145">
        <v>6.7</v>
      </c>
      <c r="H9" s="145">
        <v>6.7</v>
      </c>
      <c r="I9" s="145">
        <v>6.7</v>
      </c>
      <c r="J9" s="145">
        <v>6.7</v>
      </c>
      <c r="K9" s="145">
        <v>6.7</v>
      </c>
      <c r="L9" s="145">
        <v>6.7</v>
      </c>
      <c r="M9" s="146">
        <v>6.6</v>
      </c>
      <c r="N9" s="145"/>
      <c r="O9" s="145"/>
      <c r="P9" s="145"/>
      <c r="Q9" s="146">
        <v>0</v>
      </c>
    </row>
    <row r="10" spans="1:19" ht="41.25" customHeight="1">
      <c r="A10" s="145">
        <v>6</v>
      </c>
      <c r="B10" s="228" t="s">
        <v>166</v>
      </c>
      <c r="C10" s="145">
        <f>48.5</f>
        <v>48.5</v>
      </c>
      <c r="D10" s="148">
        <f t="shared" ref="D10:I10" si="3">D5</f>
        <v>49.142000000000003</v>
      </c>
      <c r="E10" s="148">
        <f t="shared" si="3"/>
        <v>48.545000000000002</v>
      </c>
      <c r="F10" s="148">
        <f t="shared" si="3"/>
        <v>48.545000000000002</v>
      </c>
      <c r="G10" s="148">
        <f t="shared" si="3"/>
        <v>48.545000000000002</v>
      </c>
      <c r="H10" s="148">
        <f t="shared" si="3"/>
        <v>48.545000000000002</v>
      </c>
      <c r="I10" s="148">
        <f t="shared" si="3"/>
        <v>48.545000000000002</v>
      </c>
      <c r="J10" s="148">
        <f>J5</f>
        <v>48.545000000000002</v>
      </c>
      <c r="K10" s="148">
        <f>K5</f>
        <v>48.545000000000002</v>
      </c>
      <c r="L10" s="148">
        <f>L5</f>
        <v>48.545000000000002</v>
      </c>
      <c r="M10" s="148">
        <f>M5</f>
        <v>48.545000000000002</v>
      </c>
      <c r="N10" s="148"/>
      <c r="O10" s="148"/>
      <c r="P10" s="148"/>
      <c r="Q10" s="147">
        <f>P10</f>
        <v>0</v>
      </c>
      <c r="R10" s="156"/>
      <c r="S10" s="156"/>
    </row>
    <row r="11" spans="1:19" ht="43.5" customHeight="1">
      <c r="A11" s="145">
        <v>7</v>
      </c>
      <c r="B11" s="228" t="s">
        <v>167</v>
      </c>
      <c r="C11" s="148">
        <v>444.4</v>
      </c>
      <c r="D11" s="148">
        <f>C11*1.005</f>
        <v>446.62199999999996</v>
      </c>
      <c r="E11" s="148">
        <v>38.1</v>
      </c>
      <c r="F11" s="148">
        <v>38.1</v>
      </c>
      <c r="G11" s="148">
        <v>39.5</v>
      </c>
      <c r="H11" s="148">
        <v>37.700000000000003</v>
      </c>
      <c r="I11" s="148">
        <v>34.1</v>
      </c>
      <c r="J11" s="148">
        <v>33</v>
      </c>
      <c r="K11" s="148">
        <v>29.4</v>
      </c>
      <c r="L11" s="148">
        <v>30.9</v>
      </c>
      <c r="M11" s="147">
        <v>38</v>
      </c>
      <c r="N11" s="147"/>
      <c r="O11" s="147"/>
      <c r="P11" s="147"/>
      <c r="Q11" s="147">
        <v>75.900000000000006</v>
      </c>
      <c r="R11" s="156">
        <f>E11+F11+G11+H11+I11+J11+K11+L11+M11+N11+O11+P11</f>
        <v>318.8</v>
      </c>
    </row>
    <row r="13" spans="1:19">
      <c r="B13" s="9" t="s">
        <v>136</v>
      </c>
    </row>
    <row r="14" spans="1:19">
      <c r="B14" s="130" t="s">
        <v>137</v>
      </c>
      <c r="C14" s="151">
        <v>42643</v>
      </c>
      <c r="D14" s="130"/>
      <c r="Q14" s="150"/>
    </row>
  </sheetData>
  <mergeCells count="6">
    <mergeCell ref="Q2:Q3"/>
    <mergeCell ref="A2:A3"/>
    <mergeCell ref="B2:B3"/>
    <mergeCell ref="C2:C3"/>
    <mergeCell ref="D2:D3"/>
    <mergeCell ref="E2:P2"/>
  </mergeCells>
  <phoneticPr fontId="41" type="noConversion"/>
  <pageMargins left="0.57999999999999996" right="0.17" top="1.1499999999999999" bottom="0.21" header="0.26" footer="0.17"/>
  <pageSetup paperSize="9" scale="88" orientation="landscape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I99"/>
  <sheetViews>
    <sheetView view="pageBreakPreview" topLeftCell="A7" workbookViewId="0">
      <selection activeCell="B35" sqref="B35"/>
    </sheetView>
  </sheetViews>
  <sheetFormatPr defaultRowHeight="12.75"/>
  <cols>
    <col min="1" max="1" width="6.7109375" style="137" customWidth="1"/>
    <col min="2" max="2" width="17.42578125" customWidth="1"/>
    <col min="6" max="6" width="9.5703125" bestFit="1" customWidth="1"/>
    <col min="8" max="8" width="15.42578125" customWidth="1"/>
    <col min="9" max="9" width="15.28515625" customWidth="1"/>
  </cols>
  <sheetData>
    <row r="2" spans="1:9" ht="15.75">
      <c r="A2" s="345" t="s">
        <v>127</v>
      </c>
      <c r="B2" s="345"/>
      <c r="C2" s="345"/>
      <c r="D2" s="345"/>
      <c r="E2" s="345"/>
      <c r="F2" s="345"/>
      <c r="G2" s="345"/>
      <c r="H2" s="345"/>
      <c r="I2" s="345"/>
    </row>
    <row r="3" spans="1:9" ht="41.25" customHeight="1">
      <c r="A3" s="346" t="s">
        <v>194</v>
      </c>
      <c r="B3" s="346"/>
      <c r="C3" s="346"/>
      <c r="D3" s="346"/>
      <c r="E3" s="346"/>
      <c r="F3" s="346"/>
      <c r="G3" s="346"/>
      <c r="H3" s="346"/>
      <c r="I3" s="346"/>
    </row>
    <row r="4" spans="1:9" s="132" customFormat="1" ht="36.75" customHeight="1">
      <c r="A4" s="131" t="s">
        <v>188</v>
      </c>
      <c r="B4" s="347" t="s">
        <v>128</v>
      </c>
      <c r="C4" s="347"/>
      <c r="D4" s="347"/>
      <c r="E4" s="347"/>
      <c r="F4" s="347"/>
      <c r="G4" s="347"/>
      <c r="H4" s="347"/>
      <c r="I4" s="347"/>
    </row>
    <row r="5" spans="1:9" s="132" customFormat="1" ht="18.75" customHeight="1">
      <c r="A5" s="131"/>
      <c r="B5" s="323" t="s">
        <v>11</v>
      </c>
      <c r="C5" s="349"/>
      <c r="D5" s="349"/>
      <c r="E5" s="349"/>
      <c r="F5" s="349"/>
      <c r="G5" s="349"/>
      <c r="H5" s="349"/>
      <c r="I5" s="350"/>
    </row>
    <row r="6" spans="1:9" ht="29.25" customHeight="1">
      <c r="A6" s="133"/>
      <c r="B6" s="348" t="s">
        <v>145</v>
      </c>
      <c r="C6" s="348"/>
      <c r="D6" s="348"/>
      <c r="E6" s="348"/>
      <c r="F6" s="348"/>
      <c r="G6" s="348"/>
      <c r="H6" s="348"/>
      <c r="I6" s="348"/>
    </row>
    <row r="7" spans="1:9" ht="24.75" customHeight="1">
      <c r="A7" s="231"/>
      <c r="B7" s="326" t="s">
        <v>171</v>
      </c>
      <c r="C7" s="327"/>
      <c r="D7" s="327"/>
      <c r="E7" s="327"/>
      <c r="F7" s="327"/>
      <c r="G7" s="327"/>
      <c r="H7" s="327"/>
      <c r="I7" s="328"/>
    </row>
    <row r="8" spans="1:9" s="132" customFormat="1" ht="114.75" customHeight="1">
      <c r="A8" s="230" t="s">
        <v>169</v>
      </c>
      <c r="B8" s="353" t="s">
        <v>199</v>
      </c>
      <c r="C8" s="354"/>
      <c r="D8" s="354"/>
      <c r="E8" s="354"/>
      <c r="F8" s="354"/>
      <c r="G8" s="354"/>
      <c r="H8" s="354"/>
      <c r="I8" s="355"/>
    </row>
    <row r="9" spans="1:9" s="132" customFormat="1" ht="77.25" customHeight="1">
      <c r="A9" s="229" t="s">
        <v>170</v>
      </c>
      <c r="B9" s="329" t="s">
        <v>195</v>
      </c>
      <c r="C9" s="330"/>
      <c r="D9" s="330"/>
      <c r="E9" s="330"/>
      <c r="F9" s="330"/>
      <c r="G9" s="330"/>
      <c r="H9" s="330"/>
      <c r="I9" s="331"/>
    </row>
    <row r="10" spans="1:9" s="132" customFormat="1" ht="12.75" customHeight="1">
      <c r="A10" s="135"/>
      <c r="B10" s="338" t="s">
        <v>20</v>
      </c>
      <c r="C10" s="339"/>
      <c r="D10" s="339"/>
      <c r="E10" s="339"/>
      <c r="F10" s="339"/>
      <c r="G10" s="339"/>
      <c r="H10" s="339"/>
      <c r="I10" s="340"/>
    </row>
    <row r="11" spans="1:9" s="132" customFormat="1" ht="29.25" hidden="1" customHeight="1">
      <c r="A11" s="135" t="s">
        <v>51</v>
      </c>
      <c r="B11" s="332" t="s">
        <v>141</v>
      </c>
      <c r="C11" s="333"/>
      <c r="D11" s="333"/>
      <c r="E11" s="333"/>
      <c r="F11" s="333"/>
      <c r="G11" s="333"/>
      <c r="H11" s="333"/>
      <c r="I11" s="334"/>
    </row>
    <row r="12" spans="1:9" s="136" customFormat="1" ht="53.25" customHeight="1">
      <c r="A12" s="135" t="s">
        <v>151</v>
      </c>
      <c r="B12" s="335" t="s">
        <v>183</v>
      </c>
      <c r="C12" s="336"/>
      <c r="D12" s="336"/>
      <c r="E12" s="336"/>
      <c r="F12" s="336"/>
      <c r="G12" s="336"/>
      <c r="H12" s="336"/>
      <c r="I12" s="337"/>
    </row>
    <row r="13" spans="1:9" s="132" customFormat="1" ht="126" customHeight="1">
      <c r="A13" s="134" t="s">
        <v>152</v>
      </c>
      <c r="B13" s="323" t="s">
        <v>196</v>
      </c>
      <c r="C13" s="324"/>
      <c r="D13" s="324"/>
      <c r="E13" s="324"/>
      <c r="F13" s="324"/>
      <c r="G13" s="324"/>
      <c r="H13" s="324"/>
      <c r="I13" s="325"/>
    </row>
    <row r="14" spans="1:9" s="132" customFormat="1" ht="41.25" customHeight="1">
      <c r="A14" s="134" t="s">
        <v>153</v>
      </c>
      <c r="B14" s="323" t="s">
        <v>189</v>
      </c>
      <c r="C14" s="324"/>
      <c r="D14" s="324"/>
      <c r="E14" s="324"/>
      <c r="F14" s="324"/>
      <c r="G14" s="324"/>
      <c r="H14" s="324"/>
      <c r="I14" s="325"/>
    </row>
    <row r="15" spans="1:9" ht="88.5" customHeight="1">
      <c r="A15" s="143" t="s">
        <v>175</v>
      </c>
      <c r="B15" s="341" t="s">
        <v>197</v>
      </c>
      <c r="C15" s="342"/>
      <c r="D15" s="342"/>
      <c r="E15" s="342"/>
      <c r="F15" s="342"/>
      <c r="G15" s="342"/>
      <c r="H15" s="342"/>
      <c r="I15" s="343"/>
    </row>
    <row r="16" spans="1:9" s="136" customFormat="1" ht="78.75" customHeight="1">
      <c r="A16" s="135" t="s">
        <v>176</v>
      </c>
      <c r="B16" s="344" t="s">
        <v>198</v>
      </c>
      <c r="C16" s="333"/>
      <c r="D16" s="333"/>
      <c r="E16" s="333"/>
      <c r="F16" s="333"/>
      <c r="G16" s="333"/>
      <c r="H16" s="333"/>
      <c r="I16" s="334"/>
    </row>
    <row r="17" spans="1:9" ht="78.75" customHeight="1">
      <c r="A17" s="133" t="s">
        <v>177</v>
      </c>
      <c r="B17" s="341" t="s">
        <v>191</v>
      </c>
      <c r="C17" s="342"/>
      <c r="D17" s="342"/>
      <c r="E17" s="342"/>
      <c r="F17" s="342"/>
      <c r="G17" s="342"/>
      <c r="H17" s="342"/>
      <c r="I17" s="343"/>
    </row>
    <row r="18" spans="1:9" ht="39" customHeight="1">
      <c r="A18" s="133"/>
      <c r="B18" s="326" t="s">
        <v>142</v>
      </c>
      <c r="C18" s="327"/>
      <c r="D18" s="327"/>
      <c r="E18" s="327"/>
      <c r="F18" s="327"/>
      <c r="G18" s="327"/>
      <c r="H18" s="327"/>
      <c r="I18" s="328"/>
    </row>
    <row r="19" spans="1:9" ht="43.5" customHeight="1">
      <c r="A19" s="155" t="s">
        <v>178</v>
      </c>
      <c r="B19" s="352" t="s">
        <v>190</v>
      </c>
      <c r="C19" s="342"/>
      <c r="D19" s="342"/>
      <c r="E19" s="342"/>
      <c r="F19" s="342"/>
      <c r="G19" s="342"/>
      <c r="H19" s="342"/>
      <c r="I19" s="343"/>
    </row>
    <row r="20" spans="1:9" ht="65.25" customHeight="1">
      <c r="A20" s="133" t="s">
        <v>179</v>
      </c>
      <c r="B20" s="352" t="s">
        <v>200</v>
      </c>
      <c r="C20" s="342"/>
      <c r="D20" s="342"/>
      <c r="E20" s="342"/>
      <c r="F20" s="342"/>
      <c r="G20" s="342"/>
      <c r="H20" s="342"/>
      <c r="I20" s="343"/>
    </row>
    <row r="21" spans="1:9" ht="21" customHeight="1">
      <c r="A21" s="133"/>
      <c r="B21" s="356" t="s">
        <v>42</v>
      </c>
      <c r="C21" s="357"/>
      <c r="D21" s="357"/>
      <c r="E21" s="357"/>
      <c r="F21" s="357"/>
      <c r="G21" s="357"/>
      <c r="H21" s="357"/>
      <c r="I21" s="358"/>
    </row>
    <row r="22" spans="1:9" ht="27" customHeight="1">
      <c r="A22" s="133"/>
      <c r="B22" s="341" t="s">
        <v>43</v>
      </c>
      <c r="C22" s="362"/>
      <c r="D22" s="362"/>
      <c r="E22" s="362"/>
      <c r="F22" s="362"/>
      <c r="G22" s="362"/>
      <c r="H22" s="362"/>
      <c r="I22" s="363"/>
    </row>
    <row r="23" spans="1:9" ht="53.25" customHeight="1">
      <c r="A23" s="133" t="s">
        <v>158</v>
      </c>
      <c r="B23" s="352" t="s">
        <v>182</v>
      </c>
      <c r="C23" s="342"/>
      <c r="D23" s="342"/>
      <c r="E23" s="342"/>
      <c r="F23" s="342"/>
      <c r="G23" s="342"/>
      <c r="H23" s="342"/>
      <c r="I23" s="343"/>
    </row>
    <row r="24" spans="1:9" ht="39.75" hidden="1" customHeight="1">
      <c r="A24" s="133"/>
      <c r="B24" s="364" t="s">
        <v>140</v>
      </c>
      <c r="C24" s="348"/>
      <c r="D24" s="348"/>
      <c r="E24" s="348"/>
      <c r="F24" s="348"/>
      <c r="G24" s="348"/>
      <c r="H24" s="348"/>
      <c r="I24" s="348"/>
    </row>
    <row r="25" spans="1:9" ht="25.5" hidden="1" customHeight="1">
      <c r="A25" s="133" t="s">
        <v>48</v>
      </c>
      <c r="B25" s="351" t="s">
        <v>143</v>
      </c>
      <c r="C25" s="351"/>
      <c r="D25" s="351"/>
      <c r="E25" s="351"/>
      <c r="F25" s="351"/>
      <c r="G25" s="351"/>
      <c r="H25" s="351"/>
      <c r="I25" s="351"/>
    </row>
    <row r="26" spans="1:9" ht="15.75">
      <c r="B26" s="365" t="s">
        <v>184</v>
      </c>
      <c r="C26" s="365"/>
      <c r="D26" s="365"/>
      <c r="E26" s="365"/>
      <c r="F26" s="365"/>
      <c r="G26" s="365"/>
      <c r="H26" s="365"/>
      <c r="I26" s="365"/>
    </row>
    <row r="27" spans="1:9" ht="39" customHeight="1">
      <c r="A27" s="360" t="s">
        <v>201</v>
      </c>
      <c r="B27" s="360"/>
      <c r="C27" s="360"/>
      <c r="D27" s="360"/>
      <c r="E27" s="360"/>
      <c r="F27" s="360"/>
      <c r="G27" s="360"/>
      <c r="H27" s="360"/>
      <c r="I27" s="360"/>
    </row>
    <row r="28" spans="1:9" ht="13.9" customHeight="1">
      <c r="A28" s="361" t="s">
        <v>185</v>
      </c>
      <c r="B28" s="361"/>
      <c r="C28" s="361"/>
      <c r="D28" s="361"/>
      <c r="E28" s="361"/>
      <c r="F28" s="361"/>
      <c r="G28" s="361"/>
      <c r="H28" s="361"/>
      <c r="I28" s="361"/>
    </row>
    <row r="29" spans="1:9" ht="27.75" customHeight="1">
      <c r="A29" s="359" t="s">
        <v>202</v>
      </c>
      <c r="B29" s="359"/>
      <c r="C29" s="359"/>
      <c r="D29" s="359"/>
      <c r="E29" s="359"/>
      <c r="F29" s="359"/>
      <c r="G29" s="359"/>
      <c r="H29" s="359"/>
      <c r="I29" s="359"/>
    </row>
    <row r="30" spans="1:9" ht="54" customHeight="1">
      <c r="A30" s="359" t="s">
        <v>193</v>
      </c>
      <c r="B30" s="359"/>
      <c r="C30" s="359"/>
      <c r="D30" s="359"/>
      <c r="E30" s="359"/>
      <c r="F30" s="359"/>
      <c r="G30" s="359"/>
      <c r="H30" s="359"/>
      <c r="I30" s="359"/>
    </row>
    <row r="31" spans="1:9" ht="26.25" customHeight="1">
      <c r="A31" s="359" t="s">
        <v>192</v>
      </c>
      <c r="B31" s="359"/>
      <c r="C31" s="359"/>
      <c r="D31" s="359"/>
      <c r="E31" s="359"/>
      <c r="F31" s="359"/>
      <c r="G31" s="359"/>
      <c r="H31" s="359"/>
      <c r="I31" s="359"/>
    </row>
    <row r="32" spans="1:9" ht="28.5" customHeight="1">
      <c r="A32" s="359" t="s">
        <v>203</v>
      </c>
      <c r="B32" s="359"/>
      <c r="C32" s="359"/>
      <c r="D32" s="359"/>
      <c r="E32" s="359"/>
      <c r="F32" s="359"/>
      <c r="G32" s="359"/>
      <c r="H32" s="359"/>
      <c r="I32" s="359"/>
    </row>
    <row r="33" spans="1:9" ht="30.75" customHeight="1">
      <c r="A33" s="359" t="s">
        <v>186</v>
      </c>
      <c r="B33" s="359"/>
      <c r="C33" s="359"/>
      <c r="D33" s="359"/>
      <c r="E33" s="359"/>
      <c r="F33" s="359"/>
      <c r="G33" s="359"/>
      <c r="H33" s="359"/>
      <c r="I33" s="359"/>
    </row>
    <row r="34" spans="1:9" ht="30.75" customHeight="1">
      <c r="A34" s="239"/>
      <c r="B34" s="239"/>
      <c r="C34" s="239"/>
      <c r="D34" s="239"/>
      <c r="E34" s="239"/>
      <c r="F34" s="239"/>
      <c r="G34" s="239"/>
      <c r="H34" s="239"/>
      <c r="I34" s="239"/>
    </row>
    <row r="35" spans="1:9" ht="18" customHeight="1">
      <c r="A35" s="239"/>
      <c r="B35" s="239"/>
      <c r="C35" s="239"/>
      <c r="D35" s="239"/>
      <c r="E35" s="239"/>
      <c r="F35" s="239"/>
      <c r="G35" s="239"/>
      <c r="H35" s="239"/>
      <c r="I35" s="239"/>
    </row>
    <row r="36" spans="1:9" ht="40.5" customHeight="1">
      <c r="B36" s="308" t="s">
        <v>133</v>
      </c>
      <c r="C36" s="308"/>
      <c r="D36" s="308"/>
      <c r="E36" s="129"/>
      <c r="F36" s="3" t="s">
        <v>134</v>
      </c>
    </row>
    <row r="37" spans="1:9" ht="15">
      <c r="B37" s="138"/>
      <c r="C37" s="140"/>
      <c r="D37" s="139"/>
      <c r="F37" s="366">
        <v>42643</v>
      </c>
      <c r="G37" s="366"/>
    </row>
    <row r="38" spans="1:9">
      <c r="B38" s="138"/>
      <c r="C38" s="140"/>
      <c r="D38" s="139"/>
    </row>
    <row r="39" spans="1:9">
      <c r="B39" s="138"/>
      <c r="C39" s="140"/>
      <c r="D39" s="139"/>
    </row>
    <row r="40" spans="1:9">
      <c r="B40" s="138"/>
      <c r="C40" s="140"/>
      <c r="D40" s="139"/>
    </row>
    <row r="41" spans="1:9">
      <c r="B41" s="138"/>
      <c r="C41" s="140"/>
      <c r="D41" s="139"/>
    </row>
    <row r="42" spans="1:9">
      <c r="B42" s="138"/>
      <c r="C42" s="140"/>
      <c r="D42" s="139"/>
    </row>
    <row r="43" spans="1:9">
      <c r="B43" s="138"/>
      <c r="C43" s="140"/>
      <c r="D43" s="139"/>
    </row>
    <row r="44" spans="1:9">
      <c r="B44" s="138"/>
      <c r="C44" s="140"/>
      <c r="D44" s="139"/>
    </row>
    <row r="45" spans="1:9">
      <c r="B45" s="138"/>
      <c r="C45" s="140"/>
      <c r="D45" s="139"/>
    </row>
    <row r="46" spans="1:9">
      <c r="B46" s="138"/>
      <c r="C46" s="140"/>
      <c r="D46" s="139"/>
    </row>
    <row r="47" spans="1:9">
      <c r="B47" s="138"/>
      <c r="C47" s="140"/>
      <c r="D47" s="139"/>
    </row>
    <row r="48" spans="1:9">
      <c r="B48" s="138"/>
      <c r="C48" s="140"/>
      <c r="D48" s="139"/>
    </row>
    <row r="49" spans="2:4">
      <c r="B49" s="138"/>
      <c r="C49" s="140"/>
      <c r="D49" s="139"/>
    </row>
    <row r="50" spans="2:4">
      <c r="B50" s="138"/>
      <c r="C50" s="140"/>
      <c r="D50" s="139"/>
    </row>
    <row r="51" spans="2:4">
      <c r="B51" s="138"/>
      <c r="C51" s="140"/>
      <c r="D51" s="139"/>
    </row>
    <row r="52" spans="2:4">
      <c r="B52" s="138"/>
      <c r="C52" s="140"/>
      <c r="D52" s="139"/>
    </row>
    <row r="53" spans="2:4">
      <c r="B53" s="138"/>
      <c r="C53" s="140"/>
      <c r="D53" s="139"/>
    </row>
    <row r="54" spans="2:4">
      <c r="B54" s="138"/>
      <c r="C54" s="140"/>
      <c r="D54" s="139"/>
    </row>
    <row r="55" spans="2:4">
      <c r="B55" s="138"/>
      <c r="C55" s="140"/>
      <c r="D55" s="139"/>
    </row>
    <row r="56" spans="2:4">
      <c r="B56" s="138"/>
      <c r="C56" s="140"/>
      <c r="D56" s="139"/>
    </row>
    <row r="57" spans="2:4">
      <c r="B57" s="141"/>
      <c r="C57" s="141"/>
      <c r="D57" s="141"/>
    </row>
    <row r="58" spans="2:4">
      <c r="B58" s="141"/>
      <c r="C58" s="141"/>
      <c r="D58" s="141"/>
    </row>
    <row r="59" spans="2:4">
      <c r="B59" s="141"/>
      <c r="C59" s="141"/>
      <c r="D59" s="141"/>
    </row>
    <row r="60" spans="2:4">
      <c r="B60" s="141"/>
      <c r="C60" s="141"/>
      <c r="D60" s="141"/>
    </row>
    <row r="61" spans="2:4">
      <c r="B61" s="141"/>
      <c r="C61" s="141"/>
      <c r="D61" s="141"/>
    </row>
    <row r="62" spans="2:4">
      <c r="B62" s="141"/>
      <c r="C62" s="141"/>
      <c r="D62" s="141"/>
    </row>
    <row r="63" spans="2:4">
      <c r="B63" s="141"/>
      <c r="C63" s="141"/>
      <c r="D63" s="141"/>
    </row>
    <row r="64" spans="2:4">
      <c r="B64" s="141"/>
      <c r="C64" s="141"/>
      <c r="D64" s="141"/>
    </row>
    <row r="65" spans="2:4">
      <c r="B65" s="141"/>
      <c r="C65" s="141"/>
      <c r="D65" s="141"/>
    </row>
    <row r="66" spans="2:4">
      <c r="B66" s="141"/>
      <c r="C66" s="141"/>
      <c r="D66" s="141"/>
    </row>
    <row r="67" spans="2:4">
      <c r="B67" s="141"/>
      <c r="C67" s="141"/>
      <c r="D67" s="141"/>
    </row>
    <row r="68" spans="2:4">
      <c r="B68" s="141"/>
      <c r="C68" s="141"/>
      <c r="D68" s="141"/>
    </row>
    <row r="69" spans="2:4">
      <c r="B69" s="141"/>
      <c r="C69" s="141"/>
      <c r="D69" s="141"/>
    </row>
    <row r="70" spans="2:4">
      <c r="B70" s="141"/>
      <c r="C70" s="141"/>
      <c r="D70" s="141"/>
    </row>
    <row r="71" spans="2:4">
      <c r="B71" s="141"/>
      <c r="C71" s="141"/>
      <c r="D71" s="141"/>
    </row>
    <row r="72" spans="2:4">
      <c r="B72" s="141"/>
      <c r="C72" s="141"/>
      <c r="D72" s="141"/>
    </row>
    <row r="73" spans="2:4">
      <c r="B73" s="141"/>
      <c r="C73" s="141"/>
      <c r="D73" s="141"/>
    </row>
    <row r="74" spans="2:4">
      <c r="B74" s="141"/>
      <c r="C74" s="141"/>
      <c r="D74" s="141"/>
    </row>
    <row r="75" spans="2:4">
      <c r="B75" s="141"/>
      <c r="C75" s="141"/>
      <c r="D75" s="141"/>
    </row>
    <row r="76" spans="2:4">
      <c r="B76" s="141"/>
      <c r="C76" s="141"/>
      <c r="D76" s="141"/>
    </row>
    <row r="77" spans="2:4">
      <c r="B77" s="141"/>
      <c r="C77" s="141"/>
      <c r="D77" s="141"/>
    </row>
    <row r="78" spans="2:4">
      <c r="B78" s="141"/>
      <c r="C78" s="141"/>
      <c r="D78" s="141"/>
    </row>
    <row r="79" spans="2:4">
      <c r="B79" s="141"/>
      <c r="C79" s="141"/>
      <c r="D79" s="141"/>
    </row>
    <row r="80" spans="2:4">
      <c r="B80" s="141"/>
      <c r="C80" s="141"/>
      <c r="D80" s="141"/>
    </row>
    <row r="88" ht="14.45" customHeight="1"/>
    <row r="99" spans="2:2" ht="27.6" customHeight="1">
      <c r="B99" s="142"/>
    </row>
  </sheetData>
  <mergeCells count="34">
    <mergeCell ref="F37:G37"/>
    <mergeCell ref="B36:D36"/>
    <mergeCell ref="A33:I33"/>
    <mergeCell ref="A30:I30"/>
    <mergeCell ref="A32:I32"/>
    <mergeCell ref="A31:I31"/>
    <mergeCell ref="A27:I27"/>
    <mergeCell ref="A28:I28"/>
    <mergeCell ref="A29:I29"/>
    <mergeCell ref="B22:I22"/>
    <mergeCell ref="B24:I24"/>
    <mergeCell ref="B26:I26"/>
    <mergeCell ref="B25:I25"/>
    <mergeCell ref="B23:I23"/>
    <mergeCell ref="B20:I20"/>
    <mergeCell ref="B18:I18"/>
    <mergeCell ref="B8:I8"/>
    <mergeCell ref="B19:I19"/>
    <mergeCell ref="B21:I21"/>
    <mergeCell ref="B15:I15"/>
    <mergeCell ref="B16:I16"/>
    <mergeCell ref="B17:I17"/>
    <mergeCell ref="B14:I14"/>
    <mergeCell ref="A2:I2"/>
    <mergeCell ref="A3:I3"/>
    <mergeCell ref="B4:I4"/>
    <mergeCell ref="B6:I6"/>
    <mergeCell ref="B5:I5"/>
    <mergeCell ref="B13:I13"/>
    <mergeCell ref="B7:I7"/>
    <mergeCell ref="B9:I9"/>
    <mergeCell ref="B11:I11"/>
    <mergeCell ref="B12:I12"/>
    <mergeCell ref="B10:I10"/>
  </mergeCells>
  <phoneticPr fontId="41" type="noConversion"/>
  <pageMargins left="0.28999999999999998" right="0.17" top="0.66" bottom="0.4" header="0.5" footer="0.2800000000000000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Сетевой 2016</vt:lpstr>
      <vt:lpstr>Целевые показатели</vt:lpstr>
      <vt:lpstr>ПЗ</vt:lpstr>
      <vt:lpstr>'Сетевой 2016'!Excel_BuiltIn_Print_Area</vt:lpstr>
      <vt:lpstr>'Сетевой 2016'!Заголовки_для_печати</vt:lpstr>
      <vt:lpstr>'Сетевой 2016'!Область_печати</vt:lpstr>
      <vt:lpstr>'Целевые показатели'!Область_печати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Салова</dc:creator>
  <cp:lastModifiedBy>transp1</cp:lastModifiedBy>
  <cp:lastPrinted>2016-10-03T11:10:19Z</cp:lastPrinted>
  <dcterms:created xsi:type="dcterms:W3CDTF">2013-12-05T12:31:38Z</dcterms:created>
  <dcterms:modified xsi:type="dcterms:W3CDTF">2016-10-07T08:02:03Z</dcterms:modified>
</cp:coreProperties>
</file>